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drawings/drawing9.xml" ContentType="application/vnd.openxmlformats-officedocument.drawing+xml"/>
  <Override PartName="/xl/ctrlProps/ctrlProp9.xml" ContentType="application/vnd.ms-excel.controlproperties+xml"/>
  <Override PartName="/xl/drawings/drawing10.xml" ContentType="application/vnd.openxmlformats-officedocument.drawing+xml"/>
  <Override PartName="/xl/ctrlProps/ctrlProp10.xml" ContentType="application/vnd.ms-excel.controlproperties+xml"/>
  <Override PartName="/xl/drawings/drawing11.xml" ContentType="application/vnd.openxmlformats-officedocument.drawing+xml"/>
  <Override PartName="/xl/ctrlProps/ctrlProp11.xml" ContentType="application/vnd.ms-excel.controlproperties+xml"/>
  <Override PartName="/xl/drawings/drawing12.xml" ContentType="application/vnd.openxmlformats-officedocument.drawing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workbookProtection workbookPassword="DE37" lockStructure="1"/>
  <bookViews>
    <workbookView xWindow="0" yWindow="120" windowWidth="15600" windowHeight="11640" tabRatio="690" activeTab="2"/>
  </bookViews>
  <sheets>
    <sheet name="January" sheetId="1" r:id="rId1"/>
    <sheet name="February" sheetId="19" r:id="rId2"/>
    <sheet name="March" sheetId="20" r:id="rId3"/>
    <sheet name="April" sheetId="21" r:id="rId4"/>
    <sheet name="May" sheetId="22" r:id="rId5"/>
    <sheet name="June" sheetId="23" r:id="rId6"/>
    <sheet name="July" sheetId="24" r:id="rId7"/>
    <sheet name="August" sheetId="25" r:id="rId8"/>
    <sheet name="September" sheetId="26" r:id="rId9"/>
    <sheet name="October" sheetId="27" r:id="rId10"/>
    <sheet name="November" sheetId="28" r:id="rId11"/>
    <sheet name="December" sheetId="29" r:id="rId12"/>
    <sheet name="Ground List" sheetId="17" r:id="rId13"/>
    <sheet name="Flight List" sheetId="18" r:id="rId14"/>
  </sheets>
  <definedNames>
    <definedName name="AprSun1" localSheetId="3">DATE(April!CalendarYear,4,1)-WEEKDAY(DATE(April!CalendarYear,4,1))+1</definedName>
    <definedName name="AprSun1" localSheetId="7">DATE(August!CalendarYear,4,1)-WEEKDAY(DATE(August!CalendarYear,4,1))+1</definedName>
    <definedName name="AprSun1" localSheetId="11">DATE(December!CalendarYear,4,1)-WEEKDAY(DATE(December!CalendarYear,4,1))+1</definedName>
    <definedName name="AprSun1" localSheetId="1">DATE(February!CalendarYear,4,1)-WEEKDAY(DATE(February!CalendarYear,4,1))+1</definedName>
    <definedName name="AprSun1" localSheetId="6">DATE(July!CalendarYear,4,1)-WEEKDAY(DATE(July!CalendarYear,4,1))+1</definedName>
    <definedName name="AprSun1" localSheetId="5">DATE(June!CalendarYear,4,1)-WEEKDAY(DATE(June!CalendarYear,4,1))+1</definedName>
    <definedName name="AprSun1" localSheetId="2">DATE(March!CalendarYear,4,1)-WEEKDAY(DATE(March!CalendarYear,4,1))+1</definedName>
    <definedName name="AprSun1" localSheetId="4">DATE(May!CalendarYear,4,1)-WEEKDAY(DATE(May!CalendarYear,4,1))+1</definedName>
    <definedName name="AprSun1" localSheetId="10">DATE(November!CalendarYear,4,1)-WEEKDAY(DATE(November!CalendarYear,4,1))+1</definedName>
    <definedName name="AprSun1" localSheetId="9">DATE(October!CalendarYear,4,1)-WEEKDAY(DATE(October!CalendarYear,4,1))+1</definedName>
    <definedName name="AprSun1" localSheetId="8">DATE(September!CalendarYear,4,1)-WEEKDAY(DATE(September!CalendarYear,4,1))+1</definedName>
    <definedName name="AprSun1">DATE(CalendarYear,4,1)-WEEKDAY(DATE(CalendarYear,4,1))+1</definedName>
    <definedName name="AssignmentDays" localSheetId="3">April!$P$4:$P$21</definedName>
    <definedName name="AssignmentDays" localSheetId="7">August!$P$4:$P$21</definedName>
    <definedName name="AssignmentDays" localSheetId="11">December!$P$4:$P$21</definedName>
    <definedName name="AssignmentDays" localSheetId="1">February!$P$4:$P$21</definedName>
    <definedName name="AssignmentDays" localSheetId="6">July!$P$4:$P$21</definedName>
    <definedName name="AssignmentDays" localSheetId="5">June!$P$4:$P$21</definedName>
    <definedName name="AssignmentDays" localSheetId="2">March!$P$4:$P$21</definedName>
    <definedName name="AssignmentDays" localSheetId="4">May!$P$4:$P$21</definedName>
    <definedName name="AssignmentDays" localSheetId="10">November!$P$4:$P$21</definedName>
    <definedName name="AssignmentDays" localSheetId="9">October!$P$4:$P$21</definedName>
    <definedName name="AssignmentDays" localSheetId="8">September!$P$4:$P$21</definedName>
    <definedName name="AssignmentDays">January!$P$4:$P$23</definedName>
    <definedName name="AugSun1" localSheetId="3">DATE(April!CalendarYear,8,1)-WEEKDAY(DATE(April!CalendarYear,8,1))+1</definedName>
    <definedName name="AugSun1" localSheetId="7">DATE(August!CalendarYear,8,1)-WEEKDAY(DATE(August!CalendarYear,8,1))+1</definedName>
    <definedName name="AugSun1" localSheetId="11">DATE(December!CalendarYear,8,1)-WEEKDAY(DATE(December!CalendarYear,8,1))+1</definedName>
    <definedName name="AugSun1" localSheetId="1">DATE(February!CalendarYear,8,1)-WEEKDAY(DATE(February!CalendarYear,8,1))+1</definedName>
    <definedName name="AugSun1" localSheetId="6">DATE(July!CalendarYear,8,1)-WEEKDAY(DATE(July!CalendarYear,8,1))+1</definedName>
    <definedName name="AugSun1" localSheetId="5">DATE(June!CalendarYear,8,1)-WEEKDAY(DATE(June!CalendarYear,8,1))+1</definedName>
    <definedName name="AugSun1" localSheetId="2">DATE(March!CalendarYear,8,1)-WEEKDAY(DATE(March!CalendarYear,8,1))+1</definedName>
    <definedName name="AugSun1" localSheetId="4">DATE(May!CalendarYear,8,1)-WEEKDAY(DATE(May!CalendarYear,8,1))+1</definedName>
    <definedName name="AugSun1" localSheetId="10">DATE(November!CalendarYear,8,1)-WEEKDAY(DATE(November!CalendarYear,8,1))+1</definedName>
    <definedName name="AugSun1" localSheetId="9">DATE(October!CalendarYear,8,1)-WEEKDAY(DATE(October!CalendarYear,8,1))+1</definedName>
    <definedName name="AugSun1" localSheetId="8">DATE(September!CalendarYear,8,1)-WEEKDAY(DATE(September!CalendarYear,8,1))+1</definedName>
    <definedName name="AugSun1">DATE(CalendarYear,8,1)-WEEKDAY(DATE(CalendarYear,8,1))+1</definedName>
    <definedName name="CalendarYear" localSheetId="3">April!$R$2</definedName>
    <definedName name="CalendarYear" localSheetId="7">August!$R$2</definedName>
    <definedName name="CalendarYear" localSheetId="11">December!$R$2</definedName>
    <definedName name="CalendarYear" localSheetId="1">February!$R$2</definedName>
    <definedName name="CalendarYear" localSheetId="6">July!$R$2</definedName>
    <definedName name="CalendarYear" localSheetId="5">June!$R$2</definedName>
    <definedName name="CalendarYear" localSheetId="2">March!$R$2</definedName>
    <definedName name="CalendarYear" localSheetId="4">May!$R$2</definedName>
    <definedName name="CalendarYear" localSheetId="10">November!$R$2</definedName>
    <definedName name="CalendarYear" localSheetId="9">October!$R$2</definedName>
    <definedName name="CalendarYear" localSheetId="8">September!$R$2</definedName>
    <definedName name="CalendarYear">January!$R$2</definedName>
    <definedName name="DecSun1" localSheetId="3">DATE(April!CalendarYear,12,1)-WEEKDAY(DATE(April!CalendarYear,12,1))+1</definedName>
    <definedName name="DecSun1" localSheetId="7">DATE(August!CalendarYear,12,1)-WEEKDAY(DATE(August!CalendarYear,12,1))+1</definedName>
    <definedName name="DecSun1" localSheetId="11">DATE(December!CalendarYear,12,1)-WEEKDAY(DATE(December!CalendarYear,12,1))+1</definedName>
    <definedName name="DecSun1" localSheetId="1">DATE(February!CalendarYear,12,1)-WEEKDAY(DATE(February!CalendarYear,12,1))+1</definedName>
    <definedName name="DecSun1" localSheetId="6">DATE(July!CalendarYear,12,1)-WEEKDAY(DATE(July!CalendarYear,12,1))+1</definedName>
    <definedName name="DecSun1" localSheetId="5">DATE(June!CalendarYear,12,1)-WEEKDAY(DATE(June!CalendarYear,12,1))+1</definedName>
    <definedName name="DecSun1" localSheetId="2">DATE(March!CalendarYear,12,1)-WEEKDAY(DATE(March!CalendarYear,12,1))+1</definedName>
    <definedName name="DecSun1" localSheetId="4">DATE(May!CalendarYear,12,1)-WEEKDAY(DATE(May!CalendarYear,12,1))+1</definedName>
    <definedName name="DecSun1" localSheetId="10">DATE(November!CalendarYear,12,1)-WEEKDAY(DATE(November!CalendarYear,12,1))+1</definedName>
    <definedName name="DecSun1" localSheetId="9">DATE(October!CalendarYear,12,1)-WEEKDAY(DATE(October!CalendarYear,12,1))+1</definedName>
    <definedName name="DecSun1" localSheetId="8">DATE(September!CalendarYear,12,1)-WEEKDAY(DATE(September!CalendarYear,12,1))+1</definedName>
    <definedName name="DecSun1">DATE(CalendarYear,12,1)-WEEKDAY(DATE(CalendarYear,12,1))+1</definedName>
    <definedName name="FebSun1" localSheetId="3">DATE(April!CalendarYear,2,1)-WEEKDAY(DATE(April!CalendarYear,2,1))+1</definedName>
    <definedName name="FebSun1" localSheetId="7">DATE(August!CalendarYear,2,1)-WEEKDAY(DATE(August!CalendarYear,2,1))+1</definedName>
    <definedName name="FebSun1" localSheetId="11">DATE(December!CalendarYear,2,1)-WEEKDAY(DATE(December!CalendarYear,2,1))+1</definedName>
    <definedName name="FebSun1" localSheetId="1">DATE(February!CalendarYear,2,1)-WEEKDAY(DATE(February!CalendarYear,2,1))+1</definedName>
    <definedName name="FebSun1" localSheetId="6">DATE(July!CalendarYear,2,1)-WEEKDAY(DATE(July!CalendarYear,2,1))+1</definedName>
    <definedName name="FebSun1" localSheetId="5">DATE(June!CalendarYear,2,1)-WEEKDAY(DATE(June!CalendarYear,2,1))+1</definedName>
    <definedName name="FebSun1" localSheetId="2">DATE(March!CalendarYear,2,1)-WEEKDAY(DATE(March!CalendarYear,2,1))+1</definedName>
    <definedName name="FebSun1" localSheetId="4">DATE(May!CalendarYear,2,1)-WEEKDAY(DATE(May!CalendarYear,2,1))+1</definedName>
    <definedName name="FebSun1" localSheetId="10">DATE(November!CalendarYear,2,1)-WEEKDAY(DATE(November!CalendarYear,2,1))+1</definedName>
    <definedName name="FebSun1" localSheetId="9">DATE(October!CalendarYear,2,1)-WEEKDAY(DATE(October!CalendarYear,2,1))+1</definedName>
    <definedName name="FebSun1" localSheetId="8">DATE(September!CalendarYear,2,1)-WEEKDAY(DATE(September!CalendarYear,2,1))+1</definedName>
    <definedName name="FebSun1">DATE(CalendarYear,2,1)-WEEKDAY(DATE(CalendarYear,2,1))+1</definedName>
    <definedName name="Flight">'Flight List'!$A$2:$A$26</definedName>
    <definedName name="Flight.1">'Flight List'!$A$1:$A$32</definedName>
    <definedName name="Flight.3">'Flight List'!$A$1:$A$28</definedName>
    <definedName name="Flightlist">'Flight List'!$A$1:$A$26</definedName>
    <definedName name="Ground">'Ground List'!$A$2:$A$18</definedName>
    <definedName name="Ground.1">'Ground List'!$A$1:$A$29</definedName>
    <definedName name="Ground.3">'Ground List'!$A$1:$A$19</definedName>
    <definedName name="Groundlist">'Ground List'!$A$1:$A$18</definedName>
    <definedName name="Groundlist.3">'Ground List'!$A$1:$A$19</definedName>
    <definedName name="ImportantDatesTable" localSheetId="3">April!$P$4:$Q$8</definedName>
    <definedName name="ImportantDatesTable" localSheetId="7">August!$P$4:$Q$8</definedName>
    <definedName name="ImportantDatesTable" localSheetId="11">December!$P$4:$Q$8</definedName>
    <definedName name="ImportantDatesTable" localSheetId="1">February!$P$4:$Q$8</definedName>
    <definedName name="ImportantDatesTable" localSheetId="6">July!$P$4:$Q$8</definedName>
    <definedName name="ImportantDatesTable" localSheetId="5">June!$P$4:$Q$8</definedName>
    <definedName name="ImportantDatesTable" localSheetId="2">March!$P$4:$Q$8</definedName>
    <definedName name="ImportantDatesTable" localSheetId="4">May!$P$4:$Q$8</definedName>
    <definedName name="ImportantDatesTable" localSheetId="10">November!$P$4:$Q$8</definedName>
    <definedName name="ImportantDatesTable" localSheetId="9">October!$P$4:$Q$8</definedName>
    <definedName name="ImportantDatesTable" localSheetId="8">September!$P$4:$Q$8</definedName>
    <definedName name="ImportantDatesTable">January!$P$4:$Q$8</definedName>
    <definedName name="JanSun1" localSheetId="3">DATE(April!CalendarYear,1,1)-WEEKDAY(DATE(April!CalendarYear,1,1))+1</definedName>
    <definedName name="JanSun1" localSheetId="7">DATE(August!CalendarYear,1,1)-WEEKDAY(DATE(August!CalendarYear,1,1))+1</definedName>
    <definedName name="JanSun1" localSheetId="11">DATE(December!CalendarYear,1,1)-WEEKDAY(DATE(December!CalendarYear,1,1))+1</definedName>
    <definedName name="JanSun1" localSheetId="1">DATE(February!CalendarYear,1,1)-WEEKDAY(DATE(February!CalendarYear,1,1))+1</definedName>
    <definedName name="JanSun1" localSheetId="6">DATE(July!CalendarYear,1,1)-WEEKDAY(DATE(July!CalendarYear,1,1))+1</definedName>
    <definedName name="JanSun1" localSheetId="5">DATE(June!CalendarYear,1,1)-WEEKDAY(DATE(June!CalendarYear,1,1))+1</definedName>
    <definedName name="JanSun1" localSheetId="2">DATE(March!CalendarYear,1,1)-WEEKDAY(DATE(March!CalendarYear,1,1))+1</definedName>
    <definedName name="JanSun1" localSheetId="4">DATE(May!CalendarYear,1,1)-WEEKDAY(DATE(May!CalendarYear,1,1))+1</definedName>
    <definedName name="JanSun1" localSheetId="10">DATE(November!CalendarYear,1,1)-WEEKDAY(DATE(November!CalendarYear,1,1))+1</definedName>
    <definedName name="JanSun1" localSheetId="9">DATE(October!CalendarYear,1,1)-WEEKDAY(DATE(October!CalendarYear,1,1))+1</definedName>
    <definedName name="JanSun1" localSheetId="8">DATE(September!CalendarYear,1,1)-WEEKDAY(DATE(September!CalendarYear,1,1))+1</definedName>
    <definedName name="JanSun1">DATE(CalendarYear,1,1)-WEEKDAY(DATE(CalendarYear,1,1))+1</definedName>
    <definedName name="JulSun1" localSheetId="3">DATE(April!CalendarYear,7,1)-WEEKDAY(DATE(April!CalendarYear,7,1))+1</definedName>
    <definedName name="JulSun1" localSheetId="7">DATE(August!CalendarYear,7,1)-WEEKDAY(DATE(August!CalendarYear,7,1))+1</definedName>
    <definedName name="JulSun1" localSheetId="11">DATE(December!CalendarYear,7,1)-WEEKDAY(DATE(December!CalendarYear,7,1))+1</definedName>
    <definedName name="JulSun1" localSheetId="1">DATE(February!CalendarYear,7,1)-WEEKDAY(DATE(February!CalendarYear,7,1))+1</definedName>
    <definedName name="JulSun1" localSheetId="6">DATE(July!CalendarYear,7,1)-WEEKDAY(DATE(July!CalendarYear,7,1))+1</definedName>
    <definedName name="JulSun1" localSheetId="5">DATE(June!CalendarYear,7,1)-WEEKDAY(DATE(June!CalendarYear,7,1))+1</definedName>
    <definedName name="JulSun1" localSheetId="2">DATE(March!CalendarYear,7,1)-WEEKDAY(DATE(March!CalendarYear,7,1))+1</definedName>
    <definedName name="JulSun1" localSheetId="4">DATE(May!CalendarYear,7,1)-WEEKDAY(DATE(May!CalendarYear,7,1))+1</definedName>
    <definedName name="JulSun1" localSheetId="10">DATE(November!CalendarYear,7,1)-WEEKDAY(DATE(November!CalendarYear,7,1))+1</definedName>
    <definedName name="JulSun1" localSheetId="9">DATE(October!CalendarYear,7,1)-WEEKDAY(DATE(October!CalendarYear,7,1))+1</definedName>
    <definedName name="JulSun1" localSheetId="8">DATE(September!CalendarYear,7,1)-WEEKDAY(DATE(September!CalendarYear,7,1))+1</definedName>
    <definedName name="JulSun1">DATE(CalendarYear,7,1)-WEEKDAY(DATE(CalendarYear,7,1))+1</definedName>
    <definedName name="JunSun1" localSheetId="3">DATE(April!CalendarYear,6,1)-WEEKDAY(DATE(April!CalendarYear,6,1))+1</definedName>
    <definedName name="JunSun1" localSheetId="7">DATE(August!CalendarYear,6,1)-WEEKDAY(DATE(August!CalendarYear,6,1))+1</definedName>
    <definedName name="JunSun1" localSheetId="11">DATE(December!CalendarYear,6,1)-WEEKDAY(DATE(December!CalendarYear,6,1))+1</definedName>
    <definedName name="JunSun1" localSheetId="1">DATE(February!CalendarYear,6,1)-WEEKDAY(DATE(February!CalendarYear,6,1))+1</definedName>
    <definedName name="JunSun1" localSheetId="6">DATE(July!CalendarYear,6,1)-WEEKDAY(DATE(July!CalendarYear,6,1))+1</definedName>
    <definedName name="JunSun1" localSheetId="5">DATE(June!CalendarYear,6,1)-WEEKDAY(DATE(June!CalendarYear,6,1))+1</definedName>
    <definedName name="JunSun1" localSheetId="2">DATE(March!CalendarYear,6,1)-WEEKDAY(DATE(March!CalendarYear,6,1))+1</definedName>
    <definedName name="JunSun1" localSheetId="4">DATE(May!CalendarYear,6,1)-WEEKDAY(DATE(May!CalendarYear,6,1))+1</definedName>
    <definedName name="JunSun1" localSheetId="10">DATE(November!CalendarYear,6,1)-WEEKDAY(DATE(November!CalendarYear,6,1))+1</definedName>
    <definedName name="JunSun1" localSheetId="9">DATE(October!CalendarYear,6,1)-WEEKDAY(DATE(October!CalendarYear,6,1))+1</definedName>
    <definedName name="JunSun1" localSheetId="8">DATE(September!CalendarYear,6,1)-WEEKDAY(DATE(September!CalendarYear,6,1))+1</definedName>
    <definedName name="JunSun1">DATE(CalendarYear,6,1)-WEEKDAY(DATE(CalendarYear,6,1))+1</definedName>
    <definedName name="MarSun1" localSheetId="3">DATE(April!CalendarYear,3,1)-WEEKDAY(DATE(April!CalendarYear,3,1))+1</definedName>
    <definedName name="MarSun1" localSheetId="7">DATE(August!CalendarYear,3,1)-WEEKDAY(DATE(August!CalendarYear,3,1))+1</definedName>
    <definedName name="MarSun1" localSheetId="11">DATE(December!CalendarYear,3,1)-WEEKDAY(DATE(December!CalendarYear,3,1))+1</definedName>
    <definedName name="MarSun1" localSheetId="1">DATE(February!CalendarYear,3,1)-WEEKDAY(DATE(February!CalendarYear,3,1))+1</definedName>
    <definedName name="MarSun1" localSheetId="6">DATE(July!CalendarYear,3,1)-WEEKDAY(DATE(July!CalendarYear,3,1))+1</definedName>
    <definedName name="MarSun1" localSheetId="5">DATE(June!CalendarYear,3,1)-WEEKDAY(DATE(June!CalendarYear,3,1))+1</definedName>
    <definedName name="MarSun1" localSheetId="2">DATE(March!CalendarYear,3,1)-WEEKDAY(DATE(March!CalendarYear,3,1))+1</definedName>
    <definedName name="MarSun1" localSheetId="4">DATE(May!CalendarYear,3,1)-WEEKDAY(DATE(May!CalendarYear,3,1))+1</definedName>
    <definedName name="MarSun1" localSheetId="10">DATE(November!CalendarYear,3,1)-WEEKDAY(DATE(November!CalendarYear,3,1))+1</definedName>
    <definedName name="MarSun1" localSheetId="9">DATE(October!CalendarYear,3,1)-WEEKDAY(DATE(October!CalendarYear,3,1))+1</definedName>
    <definedName name="MarSun1" localSheetId="8">DATE(September!CalendarYear,3,1)-WEEKDAY(DATE(September!CalendarYear,3,1))+1</definedName>
    <definedName name="MarSun1">DATE(CalendarYear,3,1)-WEEKDAY(DATE(CalendarYear,3,1))+1</definedName>
    <definedName name="MaySun1" localSheetId="3">DATE(April!CalendarYear,5,1)-WEEKDAY(DATE(April!CalendarYear,5,1))+1</definedName>
    <definedName name="MaySun1" localSheetId="7">DATE(August!CalendarYear,5,1)-WEEKDAY(DATE(August!CalendarYear,5,1))+1</definedName>
    <definedName name="MaySun1" localSheetId="11">DATE(December!CalendarYear,5,1)-WEEKDAY(DATE(December!CalendarYear,5,1))+1</definedName>
    <definedName name="MaySun1" localSheetId="1">DATE(February!CalendarYear,5,1)-WEEKDAY(DATE(February!CalendarYear,5,1))+1</definedName>
    <definedName name="MaySun1" localSheetId="6">DATE(July!CalendarYear,5,1)-WEEKDAY(DATE(July!CalendarYear,5,1))+1</definedName>
    <definedName name="MaySun1" localSheetId="5">DATE(June!CalendarYear,5,1)-WEEKDAY(DATE(June!CalendarYear,5,1))+1</definedName>
    <definedName name="MaySun1" localSheetId="2">DATE(March!CalendarYear,5,1)-WEEKDAY(DATE(March!CalendarYear,5,1))+1</definedName>
    <definedName name="MaySun1" localSheetId="4">DATE(May!CalendarYear,5,1)-WEEKDAY(DATE(May!CalendarYear,5,1))+1</definedName>
    <definedName name="MaySun1" localSheetId="10">DATE(November!CalendarYear,5,1)-WEEKDAY(DATE(November!CalendarYear,5,1))+1</definedName>
    <definedName name="MaySun1" localSheetId="9">DATE(October!CalendarYear,5,1)-WEEKDAY(DATE(October!CalendarYear,5,1))+1</definedName>
    <definedName name="MaySun1" localSheetId="8">DATE(September!CalendarYear,5,1)-WEEKDAY(DATE(September!CalendarYear,5,1))+1</definedName>
    <definedName name="MaySun1">DATE(CalendarYear,5,1)-WEEKDAY(DATE(CalendarYear,5,1))+1</definedName>
    <definedName name="NovSun1" localSheetId="3">DATE(April!CalendarYear,11,1)-WEEKDAY(DATE(April!CalendarYear,11,1))+1</definedName>
    <definedName name="NovSun1" localSheetId="7">DATE(August!CalendarYear,11,1)-WEEKDAY(DATE(August!CalendarYear,11,1))+1</definedName>
    <definedName name="NovSun1" localSheetId="11">DATE(December!CalendarYear,11,1)-WEEKDAY(DATE(December!CalendarYear,11,1))+1</definedName>
    <definedName name="NovSun1" localSheetId="1">DATE(February!CalendarYear,11,1)-WEEKDAY(DATE(February!CalendarYear,11,1))+1</definedName>
    <definedName name="NovSun1" localSheetId="6">DATE(July!CalendarYear,11,1)-WEEKDAY(DATE(July!CalendarYear,11,1))+1</definedName>
    <definedName name="NovSun1" localSheetId="5">DATE(June!CalendarYear,11,1)-WEEKDAY(DATE(June!CalendarYear,11,1))+1</definedName>
    <definedName name="NovSun1" localSheetId="2">DATE(March!CalendarYear,11,1)-WEEKDAY(DATE(March!CalendarYear,11,1))+1</definedName>
    <definedName name="NovSun1" localSheetId="4">DATE(May!CalendarYear,11,1)-WEEKDAY(DATE(May!CalendarYear,11,1))+1</definedName>
    <definedName name="NovSun1" localSheetId="10">DATE(November!CalendarYear,11,1)-WEEKDAY(DATE(November!CalendarYear,11,1))+1</definedName>
    <definedName name="NovSun1" localSheetId="9">DATE(October!CalendarYear,11,1)-WEEKDAY(DATE(October!CalendarYear,11,1))+1</definedName>
    <definedName name="NovSun1" localSheetId="8">DATE(September!CalendarYear,11,1)-WEEKDAY(DATE(September!CalendarYear,11,1))+1</definedName>
    <definedName name="NovSun1">DATE(CalendarYear,11,1)-WEEKDAY(DATE(CalendarYear,11,1))+1</definedName>
    <definedName name="OctSun1" localSheetId="3">DATE(April!CalendarYear,10,1)-WEEKDAY(DATE(April!CalendarYear,10,1))+1</definedName>
    <definedName name="OctSun1" localSheetId="7">DATE(August!CalendarYear,10,1)-WEEKDAY(DATE(August!CalendarYear,10,1))+1</definedName>
    <definedName name="OctSun1" localSheetId="11">DATE(December!CalendarYear,10,1)-WEEKDAY(DATE(December!CalendarYear,10,1))+1</definedName>
    <definedName name="OctSun1" localSheetId="1">DATE(February!CalendarYear,10,1)-WEEKDAY(DATE(February!CalendarYear,10,1))+1</definedName>
    <definedName name="OctSun1" localSheetId="6">DATE(July!CalendarYear,10,1)-WEEKDAY(DATE(July!CalendarYear,10,1))+1</definedName>
    <definedName name="OctSun1" localSheetId="5">DATE(June!CalendarYear,10,1)-WEEKDAY(DATE(June!CalendarYear,10,1))+1</definedName>
    <definedName name="OctSun1" localSheetId="2">DATE(March!CalendarYear,10,1)-WEEKDAY(DATE(March!CalendarYear,10,1))+1</definedName>
    <definedName name="OctSun1" localSheetId="4">DATE(May!CalendarYear,10,1)-WEEKDAY(DATE(May!CalendarYear,10,1))+1</definedName>
    <definedName name="OctSun1" localSheetId="10">DATE(November!CalendarYear,10,1)-WEEKDAY(DATE(November!CalendarYear,10,1))+1</definedName>
    <definedName name="OctSun1" localSheetId="9">DATE(October!CalendarYear,10,1)-WEEKDAY(DATE(October!CalendarYear,10,1))+1</definedName>
    <definedName name="OctSun1" localSheetId="8">DATE(September!CalendarYear,10,1)-WEEKDAY(DATE(September!CalendarYear,10,1))+1</definedName>
    <definedName name="OctSun1">DATE(CalendarYear,10,1)-WEEKDAY(DATE(CalendarYear,10,1))+1</definedName>
    <definedName name="_xlnm.Print_Area" localSheetId="3">April!$A$1:$R$23</definedName>
    <definedName name="_xlnm.Print_Area" localSheetId="7">August!$A$1:$R$23</definedName>
    <definedName name="_xlnm.Print_Area" localSheetId="11">December!$A$1:$R$23</definedName>
    <definedName name="_xlnm.Print_Area" localSheetId="1">February!$A$1:$R$23</definedName>
    <definedName name="_xlnm.Print_Area" localSheetId="0">January!$A$1:$R$23</definedName>
    <definedName name="_xlnm.Print_Area" localSheetId="6">July!$A$1:$R$23</definedName>
    <definedName name="_xlnm.Print_Area" localSheetId="5">June!$A$1:$R$23</definedName>
    <definedName name="_xlnm.Print_Area" localSheetId="2">March!$A$1:$R$23</definedName>
    <definedName name="_xlnm.Print_Area" localSheetId="4">May!$A$1:$R$23</definedName>
    <definedName name="_xlnm.Print_Area" localSheetId="10">November!$A$1:$R$23</definedName>
    <definedName name="_xlnm.Print_Area" localSheetId="9">October!$A$1:$R$23</definedName>
    <definedName name="_xlnm.Print_Area" localSheetId="8">September!$A$1:$R$23</definedName>
    <definedName name="SepSun1" localSheetId="3">DATE(April!CalendarYear,9,1)-WEEKDAY(DATE(April!CalendarYear,9,1))+1</definedName>
    <definedName name="SepSun1" localSheetId="7">DATE(August!CalendarYear,9,1)-WEEKDAY(DATE(August!CalendarYear,9,1))+1</definedName>
    <definedName name="SepSun1" localSheetId="11">DATE(December!CalendarYear,9,1)-WEEKDAY(DATE(December!CalendarYear,9,1))+1</definedName>
    <definedName name="SepSun1" localSheetId="1">DATE(February!CalendarYear,9,1)-WEEKDAY(DATE(February!CalendarYear,9,1))+1</definedName>
    <definedName name="SepSun1" localSheetId="6">DATE(July!CalendarYear,9,1)-WEEKDAY(DATE(July!CalendarYear,9,1))+1</definedName>
    <definedName name="SepSun1" localSheetId="5">DATE(June!CalendarYear,9,1)-WEEKDAY(DATE(June!CalendarYear,9,1))+1</definedName>
    <definedName name="SepSun1" localSheetId="2">DATE(March!CalendarYear,9,1)-WEEKDAY(DATE(March!CalendarYear,9,1))+1</definedName>
    <definedName name="SepSun1" localSheetId="4">DATE(May!CalendarYear,9,1)-WEEKDAY(DATE(May!CalendarYear,9,1))+1</definedName>
    <definedName name="SepSun1" localSheetId="10">DATE(November!CalendarYear,9,1)-WEEKDAY(DATE(November!CalendarYear,9,1))+1</definedName>
    <definedName name="SepSun1" localSheetId="9">DATE(October!CalendarYear,9,1)-WEEKDAY(DATE(October!CalendarYear,9,1))+1</definedName>
    <definedName name="SepSun1" localSheetId="8">DATE(September!CalendarYear,9,1)-WEEKDAY(DATE(September!CalendarYear,9,1))+1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29" l="1"/>
  <c r="H9" i="29"/>
  <c r="G9" i="29"/>
  <c r="F9" i="29"/>
  <c r="E9" i="29"/>
  <c r="D9" i="29"/>
  <c r="C9" i="29"/>
  <c r="I8" i="29"/>
  <c r="H8" i="29"/>
  <c r="G8" i="29"/>
  <c r="F8" i="29"/>
  <c r="E8" i="29"/>
  <c r="D8" i="29"/>
  <c r="C8" i="29"/>
  <c r="I7" i="29"/>
  <c r="H7" i="29"/>
  <c r="G7" i="29"/>
  <c r="F7" i="29"/>
  <c r="E7" i="29"/>
  <c r="D7" i="29"/>
  <c r="C7" i="29"/>
  <c r="I6" i="29"/>
  <c r="H6" i="29"/>
  <c r="G6" i="29"/>
  <c r="F6" i="29"/>
  <c r="E6" i="29"/>
  <c r="D6" i="29"/>
  <c r="C6" i="29"/>
  <c r="I5" i="29"/>
  <c r="H5" i="29"/>
  <c r="G5" i="29"/>
  <c r="F5" i="29"/>
  <c r="E5" i="29"/>
  <c r="D5" i="29"/>
  <c r="C5" i="29"/>
  <c r="I4" i="29"/>
  <c r="H4" i="29"/>
  <c r="G4" i="29"/>
  <c r="F4" i="29"/>
  <c r="E4" i="29"/>
  <c r="D4" i="29"/>
  <c r="C4" i="29"/>
  <c r="I9" i="28"/>
  <c r="H9" i="28"/>
  <c r="G9" i="28"/>
  <c r="F9" i="28"/>
  <c r="E9" i="28"/>
  <c r="D9" i="28"/>
  <c r="C9" i="28"/>
  <c r="I8" i="28"/>
  <c r="H8" i="28"/>
  <c r="G8" i="28"/>
  <c r="F8" i="28"/>
  <c r="E8" i="28"/>
  <c r="D8" i="28"/>
  <c r="C8" i="28"/>
  <c r="I7" i="28"/>
  <c r="H7" i="28"/>
  <c r="G7" i="28"/>
  <c r="F7" i="28"/>
  <c r="E7" i="28"/>
  <c r="D7" i="28"/>
  <c r="C7" i="28"/>
  <c r="I6" i="28"/>
  <c r="H6" i="28"/>
  <c r="G6" i="28"/>
  <c r="F6" i="28"/>
  <c r="E6" i="28"/>
  <c r="D6" i="28"/>
  <c r="C6" i="28"/>
  <c r="I5" i="28"/>
  <c r="H5" i="28"/>
  <c r="G5" i="28"/>
  <c r="F5" i="28"/>
  <c r="E5" i="28"/>
  <c r="D5" i="28"/>
  <c r="C5" i="28"/>
  <c r="I4" i="28"/>
  <c r="H4" i="28"/>
  <c r="G4" i="28"/>
  <c r="F4" i="28"/>
  <c r="E4" i="28"/>
  <c r="D4" i="28"/>
  <c r="C4" i="28"/>
  <c r="I9" i="27"/>
  <c r="H9" i="27"/>
  <c r="G9" i="27"/>
  <c r="F9" i="27"/>
  <c r="E9" i="27"/>
  <c r="D9" i="27"/>
  <c r="C9" i="27"/>
  <c r="I8" i="27"/>
  <c r="H8" i="27"/>
  <c r="G8" i="27"/>
  <c r="F8" i="27"/>
  <c r="E8" i="27"/>
  <c r="D8" i="27"/>
  <c r="C8" i="27"/>
  <c r="I7" i="27"/>
  <c r="H7" i="27"/>
  <c r="G7" i="27"/>
  <c r="F7" i="27"/>
  <c r="E7" i="27"/>
  <c r="D7" i="27"/>
  <c r="C7" i="27"/>
  <c r="I6" i="27"/>
  <c r="H6" i="27"/>
  <c r="G6" i="27"/>
  <c r="F6" i="27"/>
  <c r="E6" i="27"/>
  <c r="D6" i="27"/>
  <c r="C6" i="27"/>
  <c r="I5" i="27"/>
  <c r="H5" i="27"/>
  <c r="G5" i="27"/>
  <c r="F5" i="27"/>
  <c r="E5" i="27"/>
  <c r="D5" i="27"/>
  <c r="C5" i="27"/>
  <c r="I4" i="27"/>
  <c r="H4" i="27"/>
  <c r="G4" i="27"/>
  <c r="F4" i="27"/>
  <c r="E4" i="27"/>
  <c r="D4" i="27"/>
  <c r="C4" i="27"/>
  <c r="I9" i="26"/>
  <c r="H9" i="26"/>
  <c r="G9" i="26"/>
  <c r="F9" i="26"/>
  <c r="E9" i="26"/>
  <c r="D9" i="26"/>
  <c r="C9" i="26"/>
  <c r="I8" i="26"/>
  <c r="H8" i="26"/>
  <c r="G8" i="26"/>
  <c r="F8" i="26"/>
  <c r="E8" i="26"/>
  <c r="D8" i="26"/>
  <c r="C8" i="26"/>
  <c r="I7" i="26"/>
  <c r="H7" i="26"/>
  <c r="G7" i="26"/>
  <c r="F7" i="26"/>
  <c r="E7" i="26"/>
  <c r="D7" i="26"/>
  <c r="C7" i="26"/>
  <c r="I6" i="26"/>
  <c r="H6" i="26"/>
  <c r="G6" i="26"/>
  <c r="F6" i="26"/>
  <c r="E6" i="26"/>
  <c r="D6" i="26"/>
  <c r="C6" i="26"/>
  <c r="I5" i="26"/>
  <c r="H5" i="26"/>
  <c r="G5" i="26"/>
  <c r="F5" i="26"/>
  <c r="E5" i="26"/>
  <c r="D5" i="26"/>
  <c r="C5" i="26"/>
  <c r="I4" i="26"/>
  <c r="H4" i="26"/>
  <c r="G4" i="26"/>
  <c r="F4" i="26"/>
  <c r="E4" i="26"/>
  <c r="D4" i="26"/>
  <c r="C4" i="26"/>
  <c r="I9" i="25"/>
  <c r="H9" i="25"/>
  <c r="G9" i="25"/>
  <c r="F9" i="25"/>
  <c r="E9" i="25"/>
  <c r="D9" i="25"/>
  <c r="C9" i="25"/>
  <c r="I8" i="25"/>
  <c r="H8" i="25"/>
  <c r="G8" i="25"/>
  <c r="F8" i="25"/>
  <c r="E8" i="25"/>
  <c r="D8" i="25"/>
  <c r="C8" i="25"/>
  <c r="I7" i="25"/>
  <c r="H7" i="25"/>
  <c r="G7" i="25"/>
  <c r="F7" i="25"/>
  <c r="E7" i="25"/>
  <c r="D7" i="25"/>
  <c r="C7" i="25"/>
  <c r="I6" i="25"/>
  <c r="H6" i="25"/>
  <c r="G6" i="25"/>
  <c r="F6" i="25"/>
  <c r="E6" i="25"/>
  <c r="D6" i="25"/>
  <c r="C6" i="25"/>
  <c r="I5" i="25"/>
  <c r="H5" i="25"/>
  <c r="G5" i="25"/>
  <c r="F5" i="25"/>
  <c r="E5" i="25"/>
  <c r="D5" i="25"/>
  <c r="C5" i="25"/>
  <c r="I4" i="25"/>
  <c r="H4" i="25"/>
  <c r="G4" i="25"/>
  <c r="F4" i="25"/>
  <c r="E4" i="25"/>
  <c r="D4" i="25"/>
  <c r="C4" i="25"/>
  <c r="I9" i="24"/>
  <c r="H9" i="24"/>
  <c r="G9" i="24"/>
  <c r="F9" i="24"/>
  <c r="E9" i="24"/>
  <c r="D9" i="24"/>
  <c r="C9" i="24"/>
  <c r="I8" i="24"/>
  <c r="H8" i="24"/>
  <c r="G8" i="24"/>
  <c r="F8" i="24"/>
  <c r="E8" i="24"/>
  <c r="D8" i="24"/>
  <c r="C8" i="24"/>
  <c r="I7" i="24"/>
  <c r="H7" i="24"/>
  <c r="G7" i="24"/>
  <c r="F7" i="24"/>
  <c r="E7" i="24"/>
  <c r="D7" i="24"/>
  <c r="C7" i="24"/>
  <c r="I6" i="24"/>
  <c r="H6" i="24"/>
  <c r="G6" i="24"/>
  <c r="F6" i="24"/>
  <c r="E6" i="24"/>
  <c r="D6" i="24"/>
  <c r="C6" i="24"/>
  <c r="I5" i="24"/>
  <c r="H5" i="24"/>
  <c r="G5" i="24"/>
  <c r="F5" i="24"/>
  <c r="E5" i="24"/>
  <c r="D5" i="24"/>
  <c r="C5" i="24"/>
  <c r="I4" i="24"/>
  <c r="H4" i="24"/>
  <c r="G4" i="24"/>
  <c r="F4" i="24"/>
  <c r="E4" i="24"/>
  <c r="D4" i="24"/>
  <c r="C4" i="24"/>
  <c r="I9" i="23"/>
  <c r="H9" i="23"/>
  <c r="G9" i="23"/>
  <c r="F9" i="23"/>
  <c r="E9" i="23"/>
  <c r="D9" i="23"/>
  <c r="C9" i="23"/>
  <c r="I8" i="23"/>
  <c r="H8" i="23"/>
  <c r="G8" i="23"/>
  <c r="F8" i="23"/>
  <c r="E8" i="23"/>
  <c r="D8" i="23"/>
  <c r="C8" i="23"/>
  <c r="I7" i="23"/>
  <c r="H7" i="23"/>
  <c r="G7" i="23"/>
  <c r="F7" i="23"/>
  <c r="E7" i="23"/>
  <c r="D7" i="23"/>
  <c r="C7" i="23"/>
  <c r="I6" i="23"/>
  <c r="H6" i="23"/>
  <c r="G6" i="23"/>
  <c r="F6" i="23"/>
  <c r="E6" i="23"/>
  <c r="D6" i="23"/>
  <c r="C6" i="23"/>
  <c r="I5" i="23"/>
  <c r="H5" i="23"/>
  <c r="G5" i="23"/>
  <c r="F5" i="23"/>
  <c r="E5" i="23"/>
  <c r="D5" i="23"/>
  <c r="C5" i="23"/>
  <c r="I4" i="23"/>
  <c r="H4" i="23"/>
  <c r="G4" i="23"/>
  <c r="F4" i="23"/>
  <c r="E4" i="23"/>
  <c r="D4" i="23"/>
  <c r="C4" i="23"/>
  <c r="I9" i="22"/>
  <c r="H9" i="22"/>
  <c r="G9" i="22"/>
  <c r="F9" i="22"/>
  <c r="E9" i="22"/>
  <c r="D9" i="22"/>
  <c r="C9" i="22"/>
  <c r="I8" i="22"/>
  <c r="H8" i="22"/>
  <c r="G8" i="22"/>
  <c r="F8" i="22"/>
  <c r="E8" i="22"/>
  <c r="D8" i="22"/>
  <c r="C8" i="22"/>
  <c r="I7" i="22"/>
  <c r="H7" i="22"/>
  <c r="G7" i="22"/>
  <c r="F7" i="22"/>
  <c r="E7" i="22"/>
  <c r="D7" i="22"/>
  <c r="C7" i="22"/>
  <c r="I6" i="22"/>
  <c r="H6" i="22"/>
  <c r="G6" i="22"/>
  <c r="F6" i="22"/>
  <c r="E6" i="22"/>
  <c r="D6" i="22"/>
  <c r="C6" i="22"/>
  <c r="I5" i="22"/>
  <c r="H5" i="22"/>
  <c r="G5" i="22"/>
  <c r="F5" i="22"/>
  <c r="E5" i="22"/>
  <c r="D5" i="22"/>
  <c r="C5" i="22"/>
  <c r="I4" i="22"/>
  <c r="H4" i="22"/>
  <c r="G4" i="22"/>
  <c r="F4" i="22"/>
  <c r="E4" i="22"/>
  <c r="D4" i="22"/>
  <c r="C4" i="22"/>
  <c r="I9" i="21"/>
  <c r="H9" i="21"/>
  <c r="G9" i="21"/>
  <c r="F9" i="21"/>
  <c r="E9" i="21"/>
  <c r="D9" i="21"/>
  <c r="C9" i="21"/>
  <c r="I8" i="21"/>
  <c r="H8" i="21"/>
  <c r="G8" i="21"/>
  <c r="F8" i="21"/>
  <c r="E8" i="21"/>
  <c r="D8" i="21"/>
  <c r="C8" i="21"/>
  <c r="I7" i="21"/>
  <c r="H7" i="21"/>
  <c r="G7" i="21"/>
  <c r="F7" i="21"/>
  <c r="E7" i="21"/>
  <c r="D7" i="21"/>
  <c r="C7" i="21"/>
  <c r="I6" i="21"/>
  <c r="H6" i="21"/>
  <c r="G6" i="21"/>
  <c r="F6" i="21"/>
  <c r="E6" i="21"/>
  <c r="D6" i="21"/>
  <c r="C6" i="21"/>
  <c r="I5" i="21"/>
  <c r="H5" i="21"/>
  <c r="G5" i="21"/>
  <c r="F5" i="21"/>
  <c r="E5" i="21"/>
  <c r="D5" i="21"/>
  <c r="C5" i="21"/>
  <c r="I4" i="21"/>
  <c r="H4" i="21"/>
  <c r="G4" i="21"/>
  <c r="F4" i="21"/>
  <c r="E4" i="21"/>
  <c r="D4" i="21"/>
  <c r="C4" i="21"/>
  <c r="I9" i="20"/>
  <c r="H9" i="20"/>
  <c r="G9" i="20"/>
  <c r="F9" i="20"/>
  <c r="E9" i="20"/>
  <c r="D9" i="20"/>
  <c r="C9" i="20"/>
  <c r="I8" i="20"/>
  <c r="H8" i="20"/>
  <c r="G8" i="20"/>
  <c r="F8" i="20"/>
  <c r="E8" i="20"/>
  <c r="D8" i="20"/>
  <c r="C8" i="20"/>
  <c r="I7" i="20"/>
  <c r="H7" i="20"/>
  <c r="G7" i="20"/>
  <c r="F7" i="20"/>
  <c r="E7" i="20"/>
  <c r="D7" i="20"/>
  <c r="C7" i="20"/>
  <c r="I6" i="20"/>
  <c r="H6" i="20"/>
  <c r="G6" i="20"/>
  <c r="F6" i="20"/>
  <c r="E6" i="20"/>
  <c r="D6" i="20"/>
  <c r="C6" i="20"/>
  <c r="I5" i="20"/>
  <c r="H5" i="20"/>
  <c r="G5" i="20"/>
  <c r="F5" i="20"/>
  <c r="E5" i="20"/>
  <c r="D5" i="20"/>
  <c r="C5" i="20"/>
  <c r="I4" i="20"/>
  <c r="H4" i="20"/>
  <c r="G4" i="20"/>
  <c r="F4" i="20"/>
  <c r="E4" i="20"/>
  <c r="D4" i="20"/>
  <c r="C4" i="20"/>
  <c r="I9" i="19"/>
  <c r="H9" i="19"/>
  <c r="G9" i="19"/>
  <c r="F9" i="19"/>
  <c r="E9" i="19"/>
  <c r="D9" i="19"/>
  <c r="C9" i="19"/>
  <c r="I8" i="19"/>
  <c r="H8" i="19"/>
  <c r="G8" i="19"/>
  <c r="F8" i="19"/>
  <c r="E8" i="19"/>
  <c r="D8" i="19"/>
  <c r="C8" i="19"/>
  <c r="I7" i="19"/>
  <c r="H7" i="19"/>
  <c r="G7" i="19"/>
  <c r="F7" i="19"/>
  <c r="E7" i="19"/>
  <c r="D7" i="19"/>
  <c r="C7" i="19"/>
  <c r="I6" i="19"/>
  <c r="H6" i="19"/>
  <c r="G6" i="19"/>
  <c r="F6" i="19"/>
  <c r="E6" i="19"/>
  <c r="D6" i="19"/>
  <c r="C6" i="19"/>
  <c r="I5" i="19"/>
  <c r="H5" i="19"/>
  <c r="G5" i="19"/>
  <c r="F5" i="19"/>
  <c r="E5" i="19"/>
  <c r="D5" i="19"/>
  <c r="C5" i="19"/>
  <c r="I4" i="19"/>
  <c r="H4" i="19"/>
  <c r="G4" i="19"/>
  <c r="F4" i="19"/>
  <c r="E4" i="19"/>
  <c r="D4" i="19"/>
  <c r="C4" i="19"/>
  <c r="I9" i="1"/>
  <c r="I8" i="1"/>
  <c r="I7" i="1"/>
  <c r="I6" i="1"/>
  <c r="I5" i="1"/>
  <c r="I4" i="1"/>
  <c r="H4" i="1" l="1"/>
  <c r="H9" i="1" l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<sst xmlns="http://schemas.openxmlformats.org/spreadsheetml/2006/main" count="267" uniqueCount="89">
  <si>
    <t>S</t>
  </si>
  <si>
    <t>M</t>
  </si>
  <si>
    <t>T</t>
  </si>
  <si>
    <t>W</t>
  </si>
  <si>
    <t>F</t>
  </si>
  <si>
    <t>MON</t>
  </si>
  <si>
    <t>TUES</t>
  </si>
  <si>
    <t>WED</t>
  </si>
  <si>
    <t>THURS</t>
  </si>
  <si>
    <t>FRI</t>
  </si>
  <si>
    <t>JANUARY</t>
  </si>
  <si>
    <t>WEEKLY SCHEDULE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</si>
  <si>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</si>
  <si>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</si>
  <si>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</si>
  <si>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</si>
  <si>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</si>
  <si>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</si>
  <si>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</si>
  <si>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</si>
  <si>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</si>
  <si>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</si>
  <si>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</si>
  <si>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SAT</t>
  </si>
  <si>
    <t>SUN</t>
  </si>
  <si>
    <t>Flight 1</t>
  </si>
  <si>
    <t>Flight 2</t>
  </si>
  <si>
    <t>Flight 3</t>
  </si>
  <si>
    <t>Flight 4</t>
  </si>
  <si>
    <t>Flight 5</t>
  </si>
  <si>
    <t>Flight 6</t>
  </si>
  <si>
    <t>Flight 7</t>
  </si>
  <si>
    <t>Flight 8</t>
  </si>
  <si>
    <t>Flight 9</t>
  </si>
  <si>
    <t>Flight 11</t>
  </si>
  <si>
    <t>Flight 12</t>
  </si>
  <si>
    <t>Flight 13</t>
  </si>
  <si>
    <t>Flight 14</t>
  </si>
  <si>
    <t>Flight 15</t>
  </si>
  <si>
    <t>Flight 16</t>
  </si>
  <si>
    <t>Flight 17</t>
  </si>
  <si>
    <t>Flight 18</t>
  </si>
  <si>
    <t>Flight 19</t>
  </si>
  <si>
    <t>Flight 21</t>
  </si>
  <si>
    <t>Flight 22</t>
  </si>
  <si>
    <t>Flight 23</t>
  </si>
  <si>
    <t>Flight 24</t>
  </si>
  <si>
    <t>CHECKRIDE</t>
  </si>
  <si>
    <t>G1: Training/Oppertunities/HF</t>
  </si>
  <si>
    <t>G2: Flight Instrument Systems</t>
  </si>
  <si>
    <t>G3: Attitude Instrument Flying</t>
  </si>
  <si>
    <t>G4: Instrument Navigation</t>
  </si>
  <si>
    <t>G5: Instrument FARs</t>
  </si>
  <si>
    <t>G6: Airports, Airspace, Flight info</t>
  </si>
  <si>
    <t>G7: ATC System</t>
  </si>
  <si>
    <t>G8: ATC Clearances</t>
  </si>
  <si>
    <t>G9: Stage I Exam</t>
  </si>
  <si>
    <t>G10: Departure Charts and Procedures</t>
  </si>
  <si>
    <t>G11: Enroute Charts and Procedures</t>
  </si>
  <si>
    <t>G12: Holding</t>
  </si>
  <si>
    <t>G13: Arrival Charts and Procedures</t>
  </si>
  <si>
    <t>G14: Approach Charts</t>
  </si>
  <si>
    <t>G15: Approach Procedures</t>
  </si>
  <si>
    <t>G16: VOR and NDB Approaches</t>
  </si>
  <si>
    <t>G17: ILS Approaches</t>
  </si>
  <si>
    <t>G18: RNAV Approaches</t>
  </si>
  <si>
    <t>G19: Stage II Exam</t>
  </si>
  <si>
    <t>G20: Weather Factors and Hazards</t>
  </si>
  <si>
    <t>G21: Printed Reports and Forecasts</t>
  </si>
  <si>
    <t>G22: Graphic Weather Products</t>
  </si>
  <si>
    <t>G23: Sources of Weather Information</t>
  </si>
  <si>
    <t>G24: IFR Emergencies</t>
  </si>
  <si>
    <t>G25: IFR ADM/Flight Planning</t>
  </si>
  <si>
    <t>G26: Stage III Exam</t>
  </si>
  <si>
    <t>G27: End of Course Exam</t>
  </si>
  <si>
    <t>Review</t>
  </si>
  <si>
    <t>Flight 10</t>
  </si>
  <si>
    <t xml:space="preserve">Flight 20 </t>
  </si>
  <si>
    <t>Flight 25</t>
  </si>
  <si>
    <t>Flight 26</t>
  </si>
  <si>
    <t>Flight 27</t>
  </si>
  <si>
    <t>Flight 28</t>
  </si>
  <si>
    <t>Flight 29</t>
  </si>
  <si>
    <t>Notes:</t>
  </si>
  <si>
    <t>Timeline Matrix</t>
  </si>
  <si>
    <t>Note: matrix does not account for repeated lessons due to pilot proficiency.</t>
  </si>
  <si>
    <t>1 Lesson/week =  56 weeks</t>
  </si>
  <si>
    <t>2 Lessons/week =  28 weeks</t>
  </si>
  <si>
    <t>3 Lessons/week =  19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</si>
</sst>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1" x14ac:knownFonts="1">
    <font>
      <sz val="10"/>
      <color theme="1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  <font>
      <sz val="10"/>
      <name val="Arial"/>
      <family val="2"/>
      <scheme val="minor"/>
    </font>
    <font>
      <b/>
      <sz val="14"/>
      <color theme="1" tint="0.249977111117893"/>
      <name val="Arial"/>
      <family val="2"/>
      <scheme val="minor"/>
    </font>
    <font>
      <b/>
      <sz val="8.5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theme="4" tint="0.79995117038483843"/>
      </right>
      <top style="thin">
        <color theme="4" tint="0.79998168889431442"/>
      </top>
      <bottom/>
      <diagonal/>
    </border>
    <border>
      <left/>
      <right style="thin">
        <color theme="4" tint="0.79995117038483843"/>
      </right>
      <top/>
      <bottom/>
      <diagonal/>
    </border>
    <border>
      <left/>
      <right/>
      <top style="thin">
        <color theme="4" tint="0.79992065187536243"/>
      </top>
      <bottom style="thin">
        <color theme="4" tint="0.79995117038483843"/>
      </bottom>
      <diagonal/>
    </border>
    <border>
      <left/>
      <right style="thin">
        <color theme="4" tint="0.79995117038483843"/>
      </right>
      <top style="thin">
        <color theme="4" tint="0.79992065187536243"/>
      </top>
      <bottom style="thin">
        <color theme="4" tint="0.79995117038483843"/>
      </bottom>
      <diagonal/>
    </border>
    <border>
      <left/>
      <right/>
      <top style="thin">
        <color theme="4" tint="0.79995117038483843"/>
      </top>
      <bottom style="thin">
        <color theme="4" tint="0.79995117038483843"/>
      </bottom>
      <diagonal/>
    </border>
    <border>
      <left/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/>
      <right style="thin">
        <color theme="4" tint="0.79995117038483843"/>
      </right>
      <top style="thin">
        <color theme="4" tint="0.79995117038483843"/>
      </top>
      <bottom/>
      <diagonal/>
    </border>
    <border>
      <left/>
      <right/>
      <top/>
      <bottom style="thin">
        <color theme="4" tint="0.79992065187536243"/>
      </bottom>
      <diagonal/>
    </border>
    <border>
      <left/>
      <right style="thin">
        <color theme="4" tint="0.79995117038483843"/>
      </right>
      <top/>
      <bottom style="thin">
        <color theme="4" tint="0.79995117038483843"/>
      </bottom>
      <diagonal/>
    </border>
    <border>
      <left style="thin">
        <color theme="4" tint="0.79985961485641044"/>
      </left>
      <right/>
      <top style="thin">
        <color theme="4" tint="0.7998901333658864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4" tint="0.79985961485641044"/>
      </left>
      <right/>
      <top/>
      <bottom style="thin">
        <color theme="4" tint="0.79989013336588644"/>
      </bottom>
      <diagonal/>
    </border>
    <border>
      <left style="thin">
        <color theme="4" tint="0.79985961485641044"/>
      </left>
      <right/>
      <top/>
      <bottom/>
      <diagonal/>
    </border>
    <border>
      <left style="thin">
        <color theme="4" tint="0.79985961485641044"/>
      </left>
      <right/>
      <top style="thin">
        <color theme="4" tint="0.79998168889431442"/>
      </top>
      <bottom/>
      <diagonal/>
    </border>
    <border>
      <left style="thin">
        <color theme="4" tint="0.79985961485641044"/>
      </left>
      <right/>
      <top/>
      <bottom style="thin">
        <color theme="4" tint="0.79998168889431442"/>
      </bottom>
      <diagonal/>
    </border>
    <border>
      <left style="thin">
        <color theme="4" tint="0.79985961485641044"/>
      </left>
      <right/>
      <top/>
      <bottom style="thin">
        <color theme="4" tint="0.7999206518753624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0" fontId="3" fillId="0" borderId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5" fillId="0" borderId="0" applyNumberFormat="0" applyFill="0" applyAlignment="0" applyProtection="0"/>
  </cellStyleXfs>
  <cellXfs count="110">
    <xf numFmtId="0" fontId="0" fillId="0" borderId="0" xfId="0"/>
    <xf numFmtId="0" fontId="0" fillId="0" borderId="0" xfId="0" applyFont="1"/>
    <xf numFmtId="0" fontId="6" fillId="0" borderId="0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2" xfId="0" applyFont="1" applyBorder="1"/>
    <xf numFmtId="164" fontId="15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28" xfId="0" applyFont="1" applyBorder="1"/>
    <xf numFmtId="0" fontId="0" fillId="0" borderId="29" xfId="0" applyFont="1" applyBorder="1"/>
    <xf numFmtId="164" fontId="16" fillId="0" borderId="11" xfId="0" applyNumberFormat="1" applyFont="1" applyFill="1" applyBorder="1" applyAlignment="1">
      <alignment horizontal="left" vertical="center" wrapText="1" indent="1"/>
    </xf>
    <xf numFmtId="0" fontId="0" fillId="6" borderId="0" xfId="0" applyFill="1"/>
    <xf numFmtId="0" fontId="18" fillId="6" borderId="0" xfId="0" applyFont="1" applyFill="1"/>
    <xf numFmtId="0" fontId="18" fillId="0" borderId="0" xfId="0" applyFont="1"/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34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8" fillId="0" borderId="39" xfId="0" applyFont="1" applyBorder="1" applyAlignment="1">
      <alignment horizontal="center"/>
    </xf>
    <xf numFmtId="0" fontId="0" fillId="0" borderId="0" xfId="0" applyFont="1" applyBorder="1"/>
    <xf numFmtId="0" fontId="0" fillId="0" borderId="11" xfId="0" applyFont="1" applyBorder="1"/>
    <xf numFmtId="0" fontId="7" fillId="0" borderId="44" xfId="0" applyFont="1" applyBorder="1" applyAlignment="1">
      <alignment horizontal="right" vertical="center" textRotation="90"/>
    </xf>
    <xf numFmtId="0" fontId="8" fillId="0" borderId="44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0" fontId="0" fillId="0" borderId="0" xfId="0" applyBorder="1"/>
    <xf numFmtId="0" fontId="8" fillId="0" borderId="25" xfId="0" applyFont="1" applyBorder="1" applyAlignment="1">
      <alignment horizontal="center"/>
    </xf>
    <xf numFmtId="0" fontId="7" fillId="0" borderId="44" xfId="0" applyFont="1" applyBorder="1" applyAlignment="1">
      <alignment horizontal="right" vertical="center" textRotation="90" wrapText="1"/>
    </xf>
    <xf numFmtId="0" fontId="8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8" fillId="0" borderId="46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7" fillId="0" borderId="27" xfId="0" applyFont="1" applyFill="1" applyBorder="1" applyAlignment="1">
      <alignment horizontal="center" vertical="center" textRotation="90"/>
    </xf>
    <xf numFmtId="0" fontId="17" fillId="0" borderId="7" xfId="0" applyFont="1" applyFill="1" applyBorder="1" applyAlignment="1">
      <alignment horizontal="center" vertical="center" textRotation="90"/>
    </xf>
    <xf numFmtId="0" fontId="17" fillId="0" borderId="30" xfId="0" applyFont="1" applyFill="1" applyBorder="1" applyAlignment="1">
      <alignment horizontal="center" vertical="center" textRotation="90"/>
    </xf>
    <xf numFmtId="0" fontId="9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5" borderId="10" xfId="0" applyFont="1" applyFill="1" applyBorder="1" applyAlignment="1">
      <alignment horizontal="left" vertical="top" wrapText="1" indent="1"/>
    </xf>
    <xf numFmtId="0" fontId="12" fillId="5" borderId="6" xfId="0" applyFont="1" applyFill="1" applyBorder="1" applyAlignment="1">
      <alignment horizontal="left" vertical="top" wrapText="1" inden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top" wrapText="1" indent="1"/>
    </xf>
    <xf numFmtId="0" fontId="10" fillId="4" borderId="10" xfId="0" applyFont="1" applyFill="1" applyBorder="1" applyAlignment="1">
      <alignment horizontal="left" indent="1"/>
    </xf>
    <xf numFmtId="0" fontId="10" fillId="4" borderId="6" xfId="0" applyFont="1" applyFill="1" applyBorder="1" applyAlignment="1">
      <alignment horizontal="left" indent="1"/>
    </xf>
    <xf numFmtId="0" fontId="13" fillId="0" borderId="41" xfId="0" applyFont="1" applyBorder="1" applyAlignment="1">
      <alignment horizontal="left" vertical="center" indent="2"/>
    </xf>
    <xf numFmtId="0" fontId="13" fillId="0" borderId="23" xfId="0" applyFont="1" applyBorder="1" applyAlignment="1">
      <alignment horizontal="left" vertical="center" indent="2"/>
    </xf>
    <xf numFmtId="0" fontId="13" fillId="0" borderId="43" xfId="0" applyFont="1" applyBorder="1" applyAlignment="1">
      <alignment horizontal="left" vertical="center" indent="2"/>
    </xf>
    <xf numFmtId="0" fontId="13" fillId="0" borderId="20" xfId="0" applyFont="1" applyBorder="1" applyAlignment="1">
      <alignment horizontal="left" vertical="center" indent="2"/>
    </xf>
    <xf numFmtId="0" fontId="7" fillId="0" borderId="45" xfId="0" applyFont="1" applyBorder="1" applyAlignment="1">
      <alignment horizontal="right" vertical="center" textRotation="90"/>
    </xf>
    <xf numFmtId="0" fontId="7" fillId="0" borderId="44" xfId="0" applyFont="1" applyBorder="1" applyAlignment="1">
      <alignment horizontal="right" vertical="center" textRotation="90"/>
    </xf>
    <xf numFmtId="0" fontId="7" fillId="0" borderId="41" xfId="0" applyFont="1" applyBorder="1" applyAlignment="1">
      <alignment horizontal="right" vertical="center" textRotation="90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1" fillId="0" borderId="24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7" fillId="0" borderId="45" xfId="0" applyFont="1" applyBorder="1" applyAlignment="1">
      <alignment vertical="center" textRotation="90"/>
    </xf>
    <xf numFmtId="0" fontId="7" fillId="0" borderId="44" xfId="0" applyFont="1" applyBorder="1" applyAlignment="1">
      <alignment vertical="center" textRotation="90"/>
    </xf>
    <xf numFmtId="0" fontId="7" fillId="0" borderId="47" xfId="0" applyFont="1" applyBorder="1" applyAlignment="1">
      <alignment vertical="center" textRotation="90"/>
    </xf>
    <xf numFmtId="0" fontId="19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0" fillId="4" borderId="0" xfId="0" applyFont="1" applyFill="1" applyBorder="1" applyAlignment="1">
      <alignment horizontal="left" indent="1"/>
    </xf>
    <xf numFmtId="0" fontId="14" fillId="0" borderId="28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3" fillId="0" borderId="41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4" fillId="0" borderId="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3" fillId="0" borderId="22" xfId="0" applyFont="1" applyBorder="1" applyAlignment="1">
      <alignment horizontal="left" vertical="center" indent="2"/>
    </xf>
    <xf numFmtId="0" fontId="13" fillId="0" borderId="19" xfId="0" applyFont="1" applyBorder="1" applyAlignment="1">
      <alignment horizontal="left" vertical="center" indent="2"/>
    </xf>
    <xf numFmtId="0" fontId="12" fillId="5" borderId="1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3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7" fillId="0" borderId="45" xfId="0" applyFont="1" applyBorder="1" applyAlignment="1">
      <alignment vertical="center" textRotation="90" wrapText="1"/>
    </xf>
    <xf numFmtId="0" fontId="7" fillId="0" borderId="44" xfId="0" applyFont="1" applyBorder="1" applyAlignment="1">
      <alignment vertical="center" textRotation="90" wrapText="1"/>
    </xf>
    <xf numFmtId="0" fontId="7" fillId="0" borderId="31" xfId="0" applyFont="1" applyBorder="1" applyAlignment="1">
      <alignment vertical="center" textRotation="90" wrapText="1"/>
    </xf>
    <xf numFmtId="0" fontId="7" fillId="0" borderId="0" xfId="0" applyFont="1" applyBorder="1" applyAlignment="1">
      <alignment vertical="center" textRotation="90" wrapText="1"/>
    </xf>
    <xf numFmtId="0" fontId="20" fillId="5" borderId="4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top" indent="1"/>
    </xf>
    <xf numFmtId="0" fontId="12" fillId="5" borderId="0" xfId="0" applyFont="1" applyFill="1" applyBorder="1" applyAlignment="1">
      <alignment horizontal="left" vertical="top" indent="1"/>
    </xf>
    <xf numFmtId="0" fontId="12" fillId="5" borderId="6" xfId="0" applyFont="1" applyFill="1" applyBorder="1" applyAlignment="1">
      <alignment horizontal="left" vertical="top" indent="1"/>
    </xf>
    <xf numFmtId="0" fontId="12" fillId="5" borderId="48" xfId="0" applyFont="1" applyFill="1" applyBorder="1" applyAlignment="1">
      <alignment horizontal="left" vertical="top" wrapText="1" indent="1"/>
    </xf>
    <xf numFmtId="0" fontId="12" fillId="5" borderId="50" xfId="0" applyFont="1" applyFill="1" applyBorder="1" applyAlignment="1">
      <alignment horizontal="left" vertical="top" wrapText="1" indent="1"/>
    </xf>
    <xf numFmtId="0" fontId="7" fillId="0" borderId="31" xfId="0" applyFont="1" applyBorder="1" applyAlignment="1">
      <alignment vertical="center" textRotation="90"/>
    </xf>
    <xf numFmtId="0" fontId="7" fillId="0" borderId="0" xfId="0" applyFont="1" applyBorder="1" applyAlignment="1">
      <alignment vertical="center" textRotation="90"/>
    </xf>
    <xf numFmtId="0" fontId="12" fillId="5" borderId="49" xfId="0" applyFont="1" applyFill="1" applyBorder="1" applyAlignment="1">
      <alignment horizontal="left" vertical="top" wrapText="1" inden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178"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177"/>
      <tableStyleElement type="headerRow" dxfId="176"/>
      <tableStyleElement type="totalRow" dxfId="175"/>
      <tableStyleElement type="firstColumn" dxfId="174"/>
      <tableStyleElement type="lastColumn" dxfId="173"/>
      <tableStyleElement type="firstRowStripe" dxfId="172"/>
      <tableStyleElement type="firstColumnStripe" dxfId="171"/>
    </tableStyle>
    <tableStyle name="TableStyleLight9 2" pivot="0" count="4">
      <tableStyleElement type="wholeTable" dxfId="170"/>
      <tableStyleElement type="headerRow" dxfId="169"/>
      <tableStyleElement type="totalRow" dxfId="168"/>
      <tableStyleElement type="firstColumn" dxfId="16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Spin" dx="16" fmlaLink="$R$2" max="2999" min="1900" page="10" val="2013"/>
</file>

<file path=xl/ctrlProps/ctrlProp10.xml><?xml version="1.0" encoding="utf-8"?>
<formControlPr xmlns="http://schemas.microsoft.com/office/spreadsheetml/2009/9/main" objectType="Spin" dx="16" fmlaLink="$R$2" max="2999" min="1900" page="10" val="2013"/>
</file>

<file path=xl/ctrlProps/ctrlProp11.xml><?xml version="1.0" encoding="utf-8"?>
<formControlPr xmlns="http://schemas.microsoft.com/office/spreadsheetml/2009/9/main" objectType="Spin" dx="16" fmlaLink="$R$2" max="2999" min="1900" page="10" val="2013"/>
</file>

<file path=xl/ctrlProps/ctrlProp12.xml><?xml version="1.0" encoding="utf-8"?>
<formControlPr xmlns="http://schemas.microsoft.com/office/spreadsheetml/2009/9/main" objectType="Spin" dx="16" fmlaLink="$R$2" max="2999" min="1900" page="10" val="2013"/>
</file>

<file path=xl/ctrlProps/ctrlProp2.xml><?xml version="1.0" encoding="utf-8"?>
<formControlPr xmlns="http://schemas.microsoft.com/office/spreadsheetml/2009/9/main" objectType="Spin" dx="16" fmlaLink="$R$2" max="2999" min="1900" page="10" val="2013"/>
</file>

<file path=xl/ctrlProps/ctrlProp3.xml><?xml version="1.0" encoding="utf-8"?>
<formControlPr xmlns="http://schemas.microsoft.com/office/spreadsheetml/2009/9/main" objectType="Spin" dx="16" fmlaLink="$R$2" max="2999" min="1900" page="10" val="2015"/>
</file>

<file path=xl/ctrlProps/ctrlProp4.xml><?xml version="1.0" encoding="utf-8"?>
<formControlPr xmlns="http://schemas.microsoft.com/office/spreadsheetml/2009/9/main" objectType="Spin" dx="16" fmlaLink="$R$2" max="2999" min="1900" page="10" val="2013"/>
</file>

<file path=xl/ctrlProps/ctrlProp5.xml><?xml version="1.0" encoding="utf-8"?>
<formControlPr xmlns="http://schemas.microsoft.com/office/spreadsheetml/2009/9/main" objectType="Spin" dx="16" fmlaLink="$R$2" max="2999" min="1900" page="10" val="2013"/>
</file>

<file path=xl/ctrlProps/ctrlProp6.xml><?xml version="1.0" encoding="utf-8"?>
<formControlPr xmlns="http://schemas.microsoft.com/office/spreadsheetml/2009/9/main" objectType="Spin" dx="16" fmlaLink="$R$2" max="2999" min="1900" page="10" val="2013"/>
</file>

<file path=xl/ctrlProps/ctrlProp7.xml><?xml version="1.0" encoding="utf-8"?>
<formControlPr xmlns="http://schemas.microsoft.com/office/spreadsheetml/2009/9/main" objectType="Spin" dx="16" fmlaLink="$R$2" max="2999" min="1900" page="10" val="2013"/>
</file>

<file path=xl/ctrlProps/ctrlProp8.xml><?xml version="1.0" encoding="utf-8"?>
<formControlPr xmlns="http://schemas.microsoft.com/office/spreadsheetml/2009/9/main" objectType="Spin" dx="16" fmlaLink="$R$2" max="2999" min="1900" page="10" val="2013"/>
</file>

<file path=xl/ctrlProps/ctrlProp9.xml><?xml version="1.0" encoding="utf-8"?>
<formControlPr xmlns="http://schemas.microsoft.com/office/spreadsheetml/2009/9/main" objectType="Spin" dx="16" fmlaLink="$R$2" max="2999" min="1900" page="10" val="2013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</xdr:row>
          <xdr:rowOff>85725</xdr:rowOff>
        </xdr:from>
        <xdr:to>
          <xdr:col>19</xdr:col>
          <xdr:colOff>9525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23553" name="Spinner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704850</xdr:colOff>
          <xdr:row>1</xdr:row>
          <xdr:rowOff>9525</xdr:rowOff>
        </xdr:from>
        <xdr:to>
          <xdr:col>12</xdr:col>
          <xdr:colOff>76200</xdr:colOff>
          <xdr:row>1</xdr:row>
          <xdr:rowOff>219075</xdr:rowOff>
        </xdr:to>
        <xdr:sp macro="" textlink="">
          <xdr:nvSpPr>
            <xdr:cNvPr id="24577" name="Spinner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25601" name="Spinner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15361" name="Spinner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16385" name="Spinner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17409" name="Spinner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18433" name="Spinner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19457" name="Spinner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20481" name="Spinner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21505" name="Spinner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28575</xdr:rowOff>
    </xdr:from>
    <xdr:to>
      <xdr:col>22</xdr:col>
      <xdr:colOff>552450</xdr:colOff>
      <xdr:row>2</xdr:row>
      <xdr:rowOff>238124</xdr:rowOff>
    </xdr:to>
    <xdr:sp macro="" textlink="">
      <xdr:nvSpPr>
        <xdr:cNvPr id="2" name="TextBox 1"/>
        <xdr:cNvSpPr txBox="1"/>
      </xdr:nvSpPr>
      <xdr:spPr>
        <a:xfrm>
          <a:off x="12915900" y="171450"/>
          <a:ext cx="22860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</xdr:row>
          <xdr:rowOff>85725</xdr:rowOff>
        </xdr:from>
        <xdr:to>
          <xdr:col>19</xdr:col>
          <xdr:colOff>0</xdr:colOff>
          <xdr:row>2</xdr:row>
          <xdr:rowOff>161925</xdr:rowOff>
        </xdr:to>
        <xdr:sp macro="" textlink="">
          <xdr:nvSpPr>
            <xdr:cNvPr id="22529" name="Spinner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A18" sqref="A18:B18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18" ht="11.25" customHeight="1" x14ac:dyDescent="0.2"/>
    <row r="2" spans="1:18" ht="18" customHeight="1" x14ac:dyDescent="0.2">
      <c r="A2" s="4"/>
      <c r="B2" s="38" t="s">
        <v>10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51" t="s">
        <v>83</v>
      </c>
      <c r="P2" s="52"/>
      <c r="Q2" s="52"/>
      <c r="R2" s="66">
        <v>2013</v>
      </c>
    </row>
    <row r="3" spans="1:18" ht="21" customHeight="1" x14ac:dyDescent="0.2">
      <c r="A3" s="4"/>
      <c r="B3" s="3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24"/>
      <c r="O3" s="53"/>
      <c r="P3" s="54"/>
      <c r="Q3" s="54"/>
      <c r="R3" s="67"/>
    </row>
    <row r="4" spans="1:18" ht="18" customHeight="1" x14ac:dyDescent="0.2">
      <c r="A4" s="4"/>
      <c r="B4" s="39"/>
      <c r="C4" s="6">
        <f>IF(DAY(JanSun1)=1,JanSun1-6,JanSun1+1)</f>
        <v>41274</v>
      </c>
      <c r="D4" s="6">
        <f>IF(DAY(JanSun1)=1,JanSun1-5,JanSun1+2)</f>
        <v>41275</v>
      </c>
      <c r="E4" s="6">
        <f>IF(DAY(JanSun1)=1,JanSun1-4,JanSun1+3)</f>
        <v>41276</v>
      </c>
      <c r="F4" s="6">
        <f>IF(DAY(JanSun1)=1,JanSun1-3,JanSun1+4)</f>
        <v>41277</v>
      </c>
      <c r="G4" s="6">
        <f>IF(DAY(JanSun1)=1,JanSun1-2,JanSun1+5)</f>
        <v>41278</v>
      </c>
      <c r="H4" s="6">
        <f>IF(DAY(JanSun1)=1,JanSun1-1,JanSun1+6)</f>
        <v>41279</v>
      </c>
      <c r="I4" s="6">
        <f>IF(DAY(JanSun1)=1,JanSun1,JanSun1+7)</f>
        <v>41280</v>
      </c>
      <c r="J4" s="6"/>
      <c r="K4" s="6"/>
      <c r="L4" s="6"/>
      <c r="M4" s="6"/>
      <c r="N4" s="24"/>
      <c r="O4" s="57"/>
      <c r="P4" s="7"/>
      <c r="Q4" s="58"/>
      <c r="R4" s="59"/>
    </row>
    <row r="5" spans="1:18" ht="18" customHeight="1" x14ac:dyDescent="0.2">
      <c r="A5" s="4"/>
      <c r="B5" s="39"/>
      <c r="C5" s="6">
        <f>IF(DAY(JanSun1)=1,JanSun1+1,JanSun1+8)</f>
        <v>41281</v>
      </c>
      <c r="D5" s="6">
        <f>IF(DAY(JanSun1)=1,JanSun1+2,JanSun1+9)</f>
        <v>41282</v>
      </c>
      <c r="E5" s="6">
        <f>IF(DAY(JanSun1)=1,JanSun1+3,JanSun1+10)</f>
        <v>41283</v>
      </c>
      <c r="F5" s="6">
        <f>IF(DAY(JanSun1)=1,JanSun1+4,JanSun1+11)</f>
        <v>41284</v>
      </c>
      <c r="G5" s="6">
        <f>IF(DAY(JanSun1)=1,JanSun1+5,JanSun1+12)</f>
        <v>41285</v>
      </c>
      <c r="H5" s="6">
        <f>IF(DAY(JanSun1)=1,JanSun1+6,JanSun1+13)</f>
        <v>41286</v>
      </c>
      <c r="I5" s="6">
        <f>IF(DAY(JanSun1)=1,JanSun1+7,JanSun1+14)</f>
        <v>41287</v>
      </c>
      <c r="J5" s="6"/>
      <c r="K5" s="6"/>
      <c r="L5" s="6"/>
      <c r="M5" s="6"/>
      <c r="N5" s="24"/>
      <c r="O5" s="56"/>
      <c r="P5" s="8"/>
      <c r="Q5" s="60"/>
      <c r="R5" s="61"/>
    </row>
    <row r="6" spans="1:18" ht="18" customHeight="1" x14ac:dyDescent="0.2">
      <c r="A6" s="4"/>
      <c r="B6" s="39"/>
      <c r="C6" s="6">
        <f>IF(DAY(JanSun1)=1,JanSun1+8,JanSun1+15)</f>
        <v>41288</v>
      </c>
      <c r="D6" s="6">
        <f>IF(DAY(JanSun1)=1,JanSun1+9,JanSun1+16)</f>
        <v>41289</v>
      </c>
      <c r="E6" s="6">
        <f>IF(DAY(JanSun1)=1,JanSun1+10,JanSun1+17)</f>
        <v>41290</v>
      </c>
      <c r="F6" s="6">
        <f>IF(DAY(JanSun1)=1,JanSun1+11,JanSun1+18)</f>
        <v>41291</v>
      </c>
      <c r="G6" s="6">
        <f>IF(DAY(JanSun1)=1,JanSun1+12,JanSun1+19)</f>
        <v>41292</v>
      </c>
      <c r="H6" s="6">
        <f>IF(DAY(JanSun1)=1,JanSun1+13,JanSun1+20)</f>
        <v>41293</v>
      </c>
      <c r="I6" s="6">
        <f>IF(DAY(JanSun1)=1,JanSun1+14,JanSun1+21)</f>
        <v>41294</v>
      </c>
      <c r="J6" s="6"/>
      <c r="K6" s="6"/>
      <c r="L6" s="6"/>
      <c r="M6" s="6"/>
      <c r="N6" s="24"/>
      <c r="O6" s="56"/>
      <c r="P6" s="8"/>
      <c r="Q6" s="60"/>
      <c r="R6" s="61"/>
    </row>
    <row r="7" spans="1:18" ht="18" customHeight="1" x14ac:dyDescent="0.2">
      <c r="A7" s="4"/>
      <c r="B7" s="39"/>
      <c r="C7" s="6">
        <f>IF(DAY(JanSun1)=1,JanSun1+15,JanSun1+22)</f>
        <v>41295</v>
      </c>
      <c r="D7" s="6">
        <f>IF(DAY(JanSun1)=1,JanSun1+16,JanSun1+23)</f>
        <v>41296</v>
      </c>
      <c r="E7" s="6">
        <f>IF(DAY(JanSun1)=1,JanSun1+17,JanSun1+24)</f>
        <v>41297</v>
      </c>
      <c r="F7" s="6">
        <f>IF(DAY(JanSun1)=1,JanSun1+18,JanSun1+25)</f>
        <v>41298</v>
      </c>
      <c r="G7" s="6">
        <f>IF(DAY(JanSun1)=1,JanSun1+19,JanSun1+26)</f>
        <v>41299</v>
      </c>
      <c r="H7" s="6">
        <f>IF(DAY(JanSun1)=1,JanSun1+20,JanSun1+27)</f>
        <v>41300</v>
      </c>
      <c r="I7" s="6">
        <f>IF(DAY(JanSun1)=1,JanSun1+21,JanSun1+28)</f>
        <v>41301</v>
      </c>
      <c r="J7" s="6"/>
      <c r="K7" s="6"/>
      <c r="L7" s="6"/>
      <c r="M7" s="6"/>
      <c r="N7" s="24"/>
      <c r="O7" s="26"/>
      <c r="P7" s="8"/>
      <c r="Q7" s="60"/>
      <c r="R7" s="61"/>
    </row>
    <row r="8" spans="1:18" ht="18.75" customHeight="1" x14ac:dyDescent="0.2">
      <c r="A8" s="4"/>
      <c r="B8" s="39"/>
      <c r="C8" s="6">
        <f>IF(DAY(JanSun1)=1,JanSun1+22,JanSun1+29)</f>
        <v>41302</v>
      </c>
      <c r="D8" s="6">
        <f>IF(DAY(JanSun1)=1,JanSun1+23,JanSun1+30)</f>
        <v>41303</v>
      </c>
      <c r="E8" s="6">
        <f>IF(DAY(JanSun1)=1,JanSun1+24,JanSun1+31)</f>
        <v>41304</v>
      </c>
      <c r="F8" s="6">
        <f>IF(DAY(JanSun1)=1,JanSun1+25,JanSun1+32)</f>
        <v>41305</v>
      </c>
      <c r="G8" s="6">
        <f>IF(DAY(JanSun1)=1,JanSun1+26,JanSun1+33)</f>
        <v>41306</v>
      </c>
      <c r="H8" s="6">
        <f>IF(DAY(JanSun1)=1,JanSun1+27,JanSun1+34)</f>
        <v>41307</v>
      </c>
      <c r="I8" s="6">
        <f>IF(DAY(JanSun1)=1,JanSun1+28,JanSun1+35)</f>
        <v>41308</v>
      </c>
      <c r="J8" s="6"/>
      <c r="K8" s="6"/>
      <c r="L8" s="6"/>
      <c r="M8" s="6"/>
      <c r="N8" s="24"/>
      <c r="O8" s="26"/>
      <c r="P8" s="8"/>
      <c r="Q8" s="60"/>
      <c r="R8" s="61"/>
    </row>
    <row r="9" spans="1:18" ht="18" customHeight="1" x14ac:dyDescent="0.2">
      <c r="A9" s="4"/>
      <c r="B9" s="39"/>
      <c r="C9" s="6">
        <f>IF(DAY(JanSun1)=1,JanSun1+29,JanSun1+36)</f>
        <v>41309</v>
      </c>
      <c r="D9" s="6">
        <f>IF(DAY(JanSun1)=1,JanSun1+30,JanSun1+37)</f>
        <v>41310</v>
      </c>
      <c r="E9" s="6">
        <f>IF(DAY(JanSun1)=1,JanSun1+31,JanSun1+38)</f>
        <v>41311</v>
      </c>
      <c r="F9" s="6">
        <f>IF(DAY(JanSun1)=1,JanSun1+32,JanSun1+39)</f>
        <v>41312</v>
      </c>
      <c r="G9" s="6">
        <f>IF(DAY(JanSun1)=1,JanSun1+33,JanSun1+40)</f>
        <v>41313</v>
      </c>
      <c r="H9" s="6">
        <f>IF(DAY(JanSun1)=1,JanSun1+34,JanSun1+41)</f>
        <v>41314</v>
      </c>
      <c r="I9" s="6">
        <f>IF(DAY(JanSun1)=1,JanSun1+35,JanSun1+42)</f>
        <v>41315</v>
      </c>
      <c r="J9" s="6"/>
      <c r="K9" s="6"/>
      <c r="L9" s="6"/>
      <c r="M9" s="6"/>
      <c r="N9" s="24"/>
      <c r="O9" s="27"/>
      <c r="P9" s="9"/>
      <c r="Q9" s="62"/>
      <c r="R9" s="63"/>
    </row>
    <row r="10" spans="1:18" ht="18" customHeight="1" x14ac:dyDescent="0.2">
      <c r="A10" s="4"/>
      <c r="B10" s="4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5"/>
      <c r="O10" s="55"/>
      <c r="P10" s="7"/>
      <c r="Q10" s="64"/>
      <c r="R10" s="65"/>
    </row>
    <row r="11" spans="1:18" ht="18" customHeight="1" x14ac:dyDescent="0.2">
      <c r="A11" s="4"/>
      <c r="B11" s="41" t="s">
        <v>11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56"/>
      <c r="P11" s="8"/>
      <c r="Q11" s="60"/>
      <c r="R11" s="61"/>
    </row>
    <row r="12" spans="1:18" ht="18" customHeight="1" x14ac:dyDescent="0.2">
      <c r="A12" s="4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56"/>
      <c r="P12" s="8"/>
      <c r="Q12" s="60"/>
      <c r="R12" s="61"/>
    </row>
    <row r="13" spans="1:18" ht="18" customHeight="1" x14ac:dyDescent="0.2">
      <c r="B13" s="3" t="s">
        <v>5</v>
      </c>
      <c r="C13" s="49" t="s">
        <v>6</v>
      </c>
      <c r="D13" s="50"/>
      <c r="E13" s="49" t="s">
        <v>7</v>
      </c>
      <c r="F13" s="50"/>
      <c r="G13" s="49" t="s">
        <v>8</v>
      </c>
      <c r="H13" s="50"/>
      <c r="I13" s="49" t="s">
        <v>9</v>
      </c>
      <c r="J13" s="50"/>
      <c r="K13" s="49" t="s">
        <v>23</v>
      </c>
      <c r="L13" s="50"/>
      <c r="M13" s="49" t="s">
        <v>24</v>
      </c>
      <c r="N13" s="75"/>
      <c r="O13" s="26"/>
      <c r="P13" s="8"/>
      <c r="Q13" s="60"/>
      <c r="R13" s="61"/>
    </row>
    <row r="14" spans="1:18" ht="21.95" customHeight="1" x14ac:dyDescent="0.2">
      <c r="A14" s="44"/>
      <c r="B14" s="45"/>
      <c r="C14" s="44"/>
      <c r="D14" s="45"/>
      <c r="E14" s="44"/>
      <c r="F14" s="45"/>
      <c r="G14" s="44"/>
      <c r="H14" s="45"/>
      <c r="I14" s="44"/>
      <c r="J14" s="45"/>
      <c r="K14" s="44"/>
      <c r="L14" s="45"/>
      <c r="M14" s="44"/>
      <c r="N14" s="48"/>
      <c r="O14" s="26"/>
      <c r="P14" s="8"/>
      <c r="Q14" s="60"/>
      <c r="R14" s="61"/>
    </row>
    <row r="15" spans="1:18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28"/>
      <c r="P15" s="10"/>
      <c r="Q15" s="62"/>
      <c r="R15" s="63"/>
    </row>
    <row r="16" spans="1:18" ht="21.95" customHeight="1" x14ac:dyDescent="0.25">
      <c r="A16" s="44"/>
      <c r="B16" s="45"/>
      <c r="C16" s="44"/>
      <c r="D16" s="45"/>
      <c r="E16" s="44"/>
      <c r="F16" s="45"/>
      <c r="G16" s="44"/>
      <c r="H16" s="45"/>
      <c r="I16" s="44"/>
      <c r="J16" s="45"/>
      <c r="K16" s="44"/>
      <c r="L16" s="45"/>
      <c r="M16" s="44"/>
      <c r="N16" s="48"/>
      <c r="O16" s="68"/>
      <c r="P16" s="17"/>
      <c r="Q16" s="71" t="s">
        <v>84</v>
      </c>
      <c r="R16" s="72"/>
    </row>
    <row r="17" spans="1:18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69"/>
      <c r="P17" s="29"/>
      <c r="Q17" s="24"/>
      <c r="R17" s="4"/>
    </row>
    <row r="18" spans="1:18" ht="21.95" customHeight="1" x14ac:dyDescent="0.2">
      <c r="A18" s="44"/>
      <c r="B18" s="45"/>
      <c r="C18" s="44"/>
      <c r="D18" s="45"/>
      <c r="E18" s="44"/>
      <c r="F18" s="45"/>
      <c r="G18" s="44"/>
      <c r="H18" s="45"/>
      <c r="I18" s="44"/>
      <c r="J18" s="45"/>
      <c r="K18" s="44"/>
      <c r="L18" s="45"/>
      <c r="M18" s="44"/>
      <c r="N18" s="48"/>
      <c r="O18" s="69"/>
      <c r="P18" s="18"/>
      <c r="Q18" s="73" t="s">
        <v>86</v>
      </c>
      <c r="R18" s="74"/>
    </row>
    <row r="19" spans="1:18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26"/>
      <c r="P19" s="18"/>
      <c r="Q19" s="19" t="s">
        <v>87</v>
      </c>
      <c r="R19" s="20"/>
    </row>
    <row r="20" spans="1:18" ht="21.95" customHeight="1" x14ac:dyDescent="0.2">
      <c r="A20" s="44"/>
      <c r="B20" s="45"/>
      <c r="C20" s="44"/>
      <c r="D20" s="45"/>
      <c r="E20" s="44"/>
      <c r="F20" s="45"/>
      <c r="G20" s="44"/>
      <c r="H20" s="45"/>
      <c r="I20" s="44"/>
      <c r="J20" s="45"/>
      <c r="K20" s="44"/>
      <c r="L20" s="45"/>
      <c r="M20" s="44"/>
      <c r="N20" s="48"/>
      <c r="O20" s="26"/>
      <c r="P20" s="18"/>
      <c r="Q20" s="21" t="s">
        <v>88</v>
      </c>
      <c r="R20" s="22"/>
    </row>
    <row r="21" spans="1:18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27"/>
      <c r="P21" s="18"/>
      <c r="Q21" s="76" t="s">
        <v>85</v>
      </c>
      <c r="R21" s="77"/>
    </row>
    <row r="22" spans="1:18" ht="21.95" customHeight="1" x14ac:dyDescent="0.2">
      <c r="A22" s="44"/>
      <c r="B22" s="45"/>
      <c r="C22" s="44"/>
      <c r="D22" s="45"/>
      <c r="E22" s="44"/>
      <c r="F22" s="45"/>
      <c r="G22" s="44"/>
      <c r="H22" s="45"/>
      <c r="I22" s="44"/>
      <c r="J22" s="45"/>
      <c r="K22" s="44"/>
      <c r="L22" s="45"/>
      <c r="M22" s="44"/>
      <c r="N22" s="48"/>
      <c r="O22" s="69"/>
      <c r="P22" s="18"/>
      <c r="Q22" s="78"/>
      <c r="R22" s="79"/>
    </row>
    <row r="23" spans="1:18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47"/>
      <c r="O23" s="70"/>
      <c r="P23" s="23"/>
      <c r="Q23" s="80"/>
      <c r="R23" s="81"/>
    </row>
  </sheetData>
  <mergeCells count="99">
    <mergeCell ref="K23:L23"/>
    <mergeCell ref="I20:J20"/>
    <mergeCell ref="I21:J21"/>
    <mergeCell ref="I22:J22"/>
    <mergeCell ref="K17:L17"/>
    <mergeCell ref="K18:L18"/>
    <mergeCell ref="K19:L19"/>
    <mergeCell ref="K20:L20"/>
    <mergeCell ref="K21:L21"/>
    <mergeCell ref="K22:L22"/>
    <mergeCell ref="A23:B23"/>
    <mergeCell ref="C19:D19"/>
    <mergeCell ref="C20:D20"/>
    <mergeCell ref="C21:D21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C22:D22"/>
    <mergeCell ref="C23:D23"/>
    <mergeCell ref="C14:D14"/>
    <mergeCell ref="E14:F14"/>
    <mergeCell ref="G14:H14"/>
    <mergeCell ref="I14:J14"/>
    <mergeCell ref="K14:L14"/>
    <mergeCell ref="M14:N14"/>
    <mergeCell ref="I13:J13"/>
    <mergeCell ref="I15:J15"/>
    <mergeCell ref="O16:O18"/>
    <mergeCell ref="O22:O23"/>
    <mergeCell ref="Q12:R12"/>
    <mergeCell ref="Q13:R13"/>
    <mergeCell ref="Q14:R14"/>
    <mergeCell ref="Q15:R15"/>
    <mergeCell ref="Q16:R16"/>
    <mergeCell ref="Q18:R18"/>
    <mergeCell ref="M13:N13"/>
    <mergeCell ref="M22:N22"/>
    <mergeCell ref="M23:N23"/>
    <mergeCell ref="Q21:R23"/>
    <mergeCell ref="I16:J16"/>
    <mergeCell ref="I17:J17"/>
    <mergeCell ref="E13:F13"/>
    <mergeCell ref="C13:D13"/>
    <mergeCell ref="O2:Q3"/>
    <mergeCell ref="O10:O12"/>
    <mergeCell ref="O4:O6"/>
    <mergeCell ref="Q4:R4"/>
    <mergeCell ref="Q5:R5"/>
    <mergeCell ref="Q6:R6"/>
    <mergeCell ref="Q7:R7"/>
    <mergeCell ref="Q8:R8"/>
    <mergeCell ref="Q9:R9"/>
    <mergeCell ref="Q10:R10"/>
    <mergeCell ref="Q11:R11"/>
    <mergeCell ref="R2:R3"/>
    <mergeCell ref="K13:L13"/>
    <mergeCell ref="G13:H13"/>
    <mergeCell ref="C15:D15"/>
    <mergeCell ref="C16:D16"/>
    <mergeCell ref="C17:D17"/>
    <mergeCell ref="C18:D18"/>
    <mergeCell ref="E18:F18"/>
    <mergeCell ref="E17:F17"/>
    <mergeCell ref="E16:F16"/>
    <mergeCell ref="E15:F15"/>
    <mergeCell ref="E23:F23"/>
    <mergeCell ref="E22:F22"/>
    <mergeCell ref="E21:F21"/>
    <mergeCell ref="E20:F20"/>
    <mergeCell ref="E19:F19"/>
    <mergeCell ref="G17:H17"/>
    <mergeCell ref="M17:N17"/>
    <mergeCell ref="G18:H18"/>
    <mergeCell ref="M18:N18"/>
    <mergeCell ref="G19:H19"/>
    <mergeCell ref="I18:J18"/>
    <mergeCell ref="I19:J19"/>
    <mergeCell ref="B2:B10"/>
    <mergeCell ref="B11:N12"/>
    <mergeCell ref="G22:H22"/>
    <mergeCell ref="G23:H23"/>
    <mergeCell ref="G20:H20"/>
    <mergeCell ref="G21:H21"/>
    <mergeCell ref="M19:N19"/>
    <mergeCell ref="M20:N20"/>
    <mergeCell ref="M21:N21"/>
    <mergeCell ref="I23:J23"/>
    <mergeCell ref="G15:H15"/>
    <mergeCell ref="M15:N15"/>
    <mergeCell ref="G16:H16"/>
    <mergeCell ref="M16:N16"/>
    <mergeCell ref="K16:L16"/>
    <mergeCell ref="K15:L15"/>
  </mergeCells>
  <phoneticPr fontId="1" type="noConversion"/>
  <conditionalFormatting sqref="C4:L4">
    <cfRule type="expression" dxfId="166" priority="11" stopIfTrue="1">
      <formula>DAY(C4)&gt;8</formula>
    </cfRule>
  </conditionalFormatting>
  <conditionalFormatting sqref="C8:M10">
    <cfRule type="expression" dxfId="165" priority="10" stopIfTrue="1">
      <formula>AND(DAY(C8)&gt;=1,DAY(C8)&lt;=15)</formula>
    </cfRule>
  </conditionalFormatting>
  <conditionalFormatting sqref="C4:M9">
    <cfRule type="expression" dxfId="164" priority="22">
      <formula>VLOOKUP(DAY(C4),AssignmentDays,1,FALSE)=DAY(C4)</formula>
    </cfRule>
  </conditionalFormatting>
  <conditionalFormatting sqref="A15:N15 A17:N17 A19:N19 A21:N21 A23:N23">
    <cfRule type="expression" dxfId="163" priority="8">
      <formula>A15&lt;&gt;""</formula>
    </cfRule>
  </conditionalFormatting>
  <conditionalFormatting sqref="A14:N14 A16:N16 A18:N18 A20:N20 A22:N22">
    <cfRule type="expression" dxfId="162" priority="7">
      <formula>A14&lt;&gt;""</formula>
    </cfRule>
  </conditionalFormatting>
  <conditionalFormatting sqref="A15:B15">
    <cfRule type="containsText" dxfId="161" priority="6" operator="containsText" text="Flight">
      <formula>NOT(ISERROR(SEARCH("Flight",A15)))</formula>
    </cfRule>
  </conditionalFormatting>
  <conditionalFormatting sqref="C15:N15">
    <cfRule type="containsText" dxfId="160" priority="5" operator="containsText" text="Flight">
      <formula>NOT(ISERROR(SEARCH("Flight",C15)))</formula>
    </cfRule>
  </conditionalFormatting>
  <conditionalFormatting sqref="A17:N17">
    <cfRule type="containsText" dxfId="159" priority="4" operator="containsText" text="Flight">
      <formula>NOT(ISERROR(SEARCH("Flight",A17)))</formula>
    </cfRule>
  </conditionalFormatting>
  <conditionalFormatting sqref="A19:N19">
    <cfRule type="containsText" dxfId="158" priority="3" operator="containsText" text="Flight">
      <formula>NOT(ISERROR(SEARCH("Flight",A19)))</formula>
    </cfRule>
  </conditionalFormatting>
  <conditionalFormatting sqref="A21:N21">
    <cfRule type="containsText" dxfId="157" priority="2" operator="containsText" text="Flight">
      <formula>NOT(ISERROR(SEARCH("Flight",A21)))</formula>
    </cfRule>
  </conditionalFormatting>
  <conditionalFormatting sqref="A23:N23">
    <cfRule type="containsText" dxfId="156" priority="1" operator="containsText" text="Flight">
      <formula>NOT(ISERROR(SEARCH("Flight",A23)))</formula>
    </cfRule>
  </conditionalFormatting>
  <dataValidations count="3">
    <dataValidation allowBlank="1" showInputMessage="1" showErrorMessage="1" errorTitle="Invalid Year" error="Enter a year from 1900 to 9999, or use the scroll bar to find a year." sqref="R2"/>
    <dataValidation type="list" allowBlank="1" showInputMessage="1" showErrorMessage="1" sqref="A16:N16 A18:N18 A20:N20 A22:N22 A14:N14">
      <formula1>Ground.1</formula1>
    </dataValidation>
    <dataValidation type="list" allowBlank="1" showInputMessage="1" showErrorMessage="1" sqref="A17:N17 A19:N19 A21:N21 A23:N23 A15:N15">
      <formula1>Flight.1</formula1>
    </dataValidation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38100</xdr:colOff>
                    <xdr:row>1</xdr:row>
                    <xdr:rowOff>85725</xdr:rowOff>
                  </from>
                  <to>
                    <xdr:col>19</xdr:col>
                    <xdr:colOff>9525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E21" sqref="E21:J24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45" ht="11.25" customHeight="1" x14ac:dyDescent="0.2"/>
    <row r="2" spans="1:45" ht="18" customHeight="1" x14ac:dyDescent="0.2">
      <c r="A2" s="4"/>
      <c r="B2" s="38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51" t="s">
        <v>83</v>
      </c>
      <c r="P2" s="52">
        <v>2013</v>
      </c>
      <c r="Q2" s="52"/>
      <c r="R2" s="66">
        <v>2013</v>
      </c>
    </row>
    <row r="3" spans="1:45" ht="21" customHeight="1" x14ac:dyDescent="0.2">
      <c r="A3" s="4"/>
      <c r="B3" s="3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24"/>
      <c r="O3" s="53"/>
      <c r="P3" s="54"/>
      <c r="Q3" s="54"/>
      <c r="R3" s="67"/>
    </row>
    <row r="4" spans="1:45" ht="18" customHeight="1" x14ac:dyDescent="0.2">
      <c r="A4" s="4"/>
      <c r="B4" s="39"/>
      <c r="C4" s="6">
        <f>IF(DAY(OctSun1)=1,OctSun1-6,OctSun1+1)</f>
        <v>41547</v>
      </c>
      <c r="D4" s="6">
        <f>IF(DAY(OctSun1)=1,OctSun1-5,OctSun1+2)</f>
        <v>41548</v>
      </c>
      <c r="E4" s="6">
        <f>IF(DAY(OctSun1)=1,OctSun1-4,OctSun1+3)</f>
        <v>41549</v>
      </c>
      <c r="F4" s="6">
        <f>IF(DAY(OctSun1)=1,OctSun1-3,OctSun1+4)</f>
        <v>41550</v>
      </c>
      <c r="G4" s="6">
        <f>IF(DAY(OctSun1)=1,OctSun1-2,OctSun1+5)</f>
        <v>41551</v>
      </c>
      <c r="H4" s="6">
        <f>IF(DAY(OctSun1)=1,OctSun1-1,OctSun1+6)</f>
        <v>41552</v>
      </c>
      <c r="I4" s="6">
        <f>IF(DAY(OctSun1)=1,OctSun1,OctSun1+7)</f>
        <v>41553</v>
      </c>
      <c r="J4" s="6"/>
      <c r="K4" s="6"/>
      <c r="L4" s="6"/>
      <c r="M4" s="6"/>
      <c r="N4" s="24"/>
      <c r="O4" s="57"/>
      <c r="P4" s="7"/>
      <c r="Q4" s="58"/>
      <c r="R4" s="59"/>
    </row>
    <row r="5" spans="1:45" ht="18" customHeight="1" x14ac:dyDescent="0.2">
      <c r="A5" s="4"/>
      <c r="B5" s="39"/>
      <c r="C5" s="6">
        <f>IF(DAY(OctSun1)=1,OctSun1+1,OctSun1+8)</f>
        <v>41554</v>
      </c>
      <c r="D5" s="6">
        <f>IF(DAY(OctSun1)=1,OctSun1+2,OctSun1+9)</f>
        <v>41555</v>
      </c>
      <c r="E5" s="6">
        <f>IF(DAY(OctSun1)=1,OctSun1+3,OctSun1+10)</f>
        <v>41556</v>
      </c>
      <c r="F5" s="6">
        <f>IF(DAY(OctSun1)=1,OctSun1+4,OctSun1+11)</f>
        <v>41557</v>
      </c>
      <c r="G5" s="6">
        <f>IF(DAY(OctSun1)=1,OctSun1+5,OctSun1+12)</f>
        <v>41558</v>
      </c>
      <c r="H5" s="6">
        <f>IF(DAY(OctSun1)=1,OctSun1+6,OctSun1+13)</f>
        <v>41559</v>
      </c>
      <c r="I5" s="6">
        <f>IF(DAY(OctSun1)=1,OctSun1+7,OctSun1+14)</f>
        <v>41560</v>
      </c>
      <c r="J5" s="6"/>
      <c r="K5" s="6"/>
      <c r="L5" s="6"/>
      <c r="M5" s="6"/>
      <c r="N5" s="24"/>
      <c r="O5" s="56"/>
      <c r="P5" s="8"/>
      <c r="Q5" s="60"/>
      <c r="R5" s="61"/>
    </row>
    <row r="6" spans="1:45" ht="18" customHeight="1" x14ac:dyDescent="0.2">
      <c r="A6" s="4"/>
      <c r="B6" s="39"/>
      <c r="C6" s="6">
        <f>IF(DAY(OctSun1)=1,OctSun1+8,OctSun1+15)</f>
        <v>41561</v>
      </c>
      <c r="D6" s="6">
        <f>IF(DAY(OctSun1)=1,OctSun1+9,OctSun1+16)</f>
        <v>41562</v>
      </c>
      <c r="E6" s="6">
        <f>IF(DAY(OctSun1)=1,OctSun1+10,OctSun1+17)</f>
        <v>41563</v>
      </c>
      <c r="F6" s="6">
        <f>IF(DAY(OctSun1)=1,OctSun1+11,OctSun1+18)</f>
        <v>41564</v>
      </c>
      <c r="G6" s="6">
        <f>IF(DAY(OctSun1)=1,OctSun1+12,OctSun1+19)</f>
        <v>41565</v>
      </c>
      <c r="H6" s="6">
        <f>IF(DAY(OctSun1)=1,OctSun1+13,OctSun1+20)</f>
        <v>41566</v>
      </c>
      <c r="I6" s="6">
        <f>IF(DAY(OctSun1)=1,OctSun1+14,OctSun1+21)</f>
        <v>41567</v>
      </c>
      <c r="J6" s="6"/>
      <c r="K6" s="6"/>
      <c r="L6" s="6"/>
      <c r="M6" s="6"/>
      <c r="N6" s="24"/>
      <c r="O6" s="56"/>
      <c r="P6" s="8"/>
      <c r="Q6" s="60"/>
      <c r="R6" s="61"/>
    </row>
    <row r="7" spans="1:45" ht="18" customHeight="1" x14ac:dyDescent="0.2">
      <c r="A7" s="4"/>
      <c r="B7" s="39"/>
      <c r="C7" s="6">
        <f>IF(DAY(OctSun1)=1,OctSun1+15,OctSun1+22)</f>
        <v>41568</v>
      </c>
      <c r="D7" s="6">
        <f>IF(DAY(OctSun1)=1,OctSun1+16,OctSun1+23)</f>
        <v>41569</v>
      </c>
      <c r="E7" s="6">
        <f>IF(DAY(OctSun1)=1,OctSun1+17,OctSun1+24)</f>
        <v>41570</v>
      </c>
      <c r="F7" s="6">
        <f>IF(DAY(OctSun1)=1,OctSun1+18,OctSun1+25)</f>
        <v>41571</v>
      </c>
      <c r="G7" s="6">
        <f>IF(DAY(OctSun1)=1,OctSun1+19,OctSun1+26)</f>
        <v>41572</v>
      </c>
      <c r="H7" s="6">
        <f>IF(DAY(OctSun1)=1,OctSun1+20,OctSun1+27)</f>
        <v>41573</v>
      </c>
      <c r="I7" s="6">
        <f>IF(DAY(OctSun1)=1,OctSun1+21,OctSun1+28)</f>
        <v>41574</v>
      </c>
      <c r="J7" s="6"/>
      <c r="K7" s="6"/>
      <c r="L7" s="6"/>
      <c r="M7" s="6"/>
      <c r="N7" s="24"/>
      <c r="O7" s="26"/>
      <c r="P7" s="8"/>
      <c r="Q7" s="60"/>
      <c r="R7" s="61"/>
    </row>
    <row r="8" spans="1:45" ht="18.75" customHeight="1" x14ac:dyDescent="0.2">
      <c r="A8" s="4"/>
      <c r="B8" s="39"/>
      <c r="C8" s="6">
        <f>IF(DAY(OctSun1)=1,OctSun1+22,OctSun1+29)</f>
        <v>41575</v>
      </c>
      <c r="D8" s="6">
        <f>IF(DAY(OctSun1)=1,OctSun1+23,OctSun1+30)</f>
        <v>41576</v>
      </c>
      <c r="E8" s="6">
        <f>IF(DAY(OctSun1)=1,OctSun1+24,OctSun1+31)</f>
        <v>41577</v>
      </c>
      <c r="F8" s="6">
        <f>IF(DAY(OctSun1)=1,OctSun1+25,OctSun1+32)</f>
        <v>41578</v>
      </c>
      <c r="G8" s="6">
        <f>IF(DAY(OctSun1)=1,OctSun1+26,OctSun1+33)</f>
        <v>41579</v>
      </c>
      <c r="H8" s="6">
        <f>IF(DAY(OctSun1)=1,OctSun1+27,OctSun1+34)</f>
        <v>41580</v>
      </c>
      <c r="I8" s="6">
        <f>IF(DAY(OctSun1)=1,OctSun1+28,OctSun1+35)</f>
        <v>41581</v>
      </c>
      <c r="J8" s="6"/>
      <c r="K8" s="6"/>
      <c r="L8" s="6"/>
      <c r="M8" s="6"/>
      <c r="N8" s="24"/>
      <c r="O8" s="26"/>
      <c r="P8" s="8"/>
      <c r="Q8" s="60"/>
      <c r="R8" s="61"/>
    </row>
    <row r="9" spans="1:45" ht="18" customHeight="1" x14ac:dyDescent="0.2">
      <c r="A9" s="4"/>
      <c r="B9" s="39"/>
      <c r="C9" s="6">
        <f>IF(DAY(OctSun1)=1,OctSun1+29,OctSun1+36)</f>
        <v>41582</v>
      </c>
      <c r="D9" s="6">
        <f>IF(DAY(OctSun1)=1,OctSun1+30,OctSun1+37)</f>
        <v>41583</v>
      </c>
      <c r="E9" s="6">
        <f>IF(DAY(OctSun1)=1,OctSun1+31,OctSun1+38)</f>
        <v>41584</v>
      </c>
      <c r="F9" s="6">
        <f>IF(DAY(OctSun1)=1,OctSun1+32,OctSun1+39)</f>
        <v>41585</v>
      </c>
      <c r="G9" s="6">
        <f>IF(DAY(OctSun1)=1,OctSun1+33,OctSun1+40)</f>
        <v>41586</v>
      </c>
      <c r="H9" s="6">
        <f>IF(DAY(OctSun1)=1,OctSun1+34,OctSun1+41)</f>
        <v>41587</v>
      </c>
      <c r="I9" s="6">
        <f>IF(DAY(OctSun1)=1,OctSun1+35,OctSun1+42)</f>
        <v>41588</v>
      </c>
      <c r="J9" s="6"/>
      <c r="K9" s="6"/>
      <c r="L9" s="6"/>
      <c r="M9" s="6"/>
      <c r="N9" s="24"/>
      <c r="O9" s="27"/>
      <c r="P9" s="9"/>
      <c r="Q9" s="62"/>
      <c r="R9" s="63"/>
    </row>
    <row r="10" spans="1:45" ht="18" customHeight="1" x14ac:dyDescent="0.2">
      <c r="A10" s="4"/>
      <c r="B10" s="4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5"/>
      <c r="O10" s="55"/>
      <c r="P10" s="7"/>
      <c r="Q10" s="64"/>
      <c r="R10" s="65"/>
    </row>
    <row r="11" spans="1:45" ht="18" customHeight="1" x14ac:dyDescent="0.2">
      <c r="A11" s="4"/>
      <c r="B11" s="41" t="s">
        <v>11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56"/>
      <c r="P11" s="8"/>
      <c r="Q11" s="60"/>
      <c r="R11" s="61"/>
    </row>
    <row r="12" spans="1:45" ht="18" customHeight="1" x14ac:dyDescent="0.2">
      <c r="A12" s="4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56"/>
      <c r="P12" s="8"/>
      <c r="Q12" s="60"/>
      <c r="R12" s="61"/>
    </row>
    <row r="13" spans="1:45" ht="18" customHeight="1" x14ac:dyDescent="0.2">
      <c r="B13" s="3" t="s">
        <v>5</v>
      </c>
      <c r="C13" s="49" t="s">
        <v>6</v>
      </c>
      <c r="D13" s="50"/>
      <c r="E13" s="49" t="s">
        <v>7</v>
      </c>
      <c r="F13" s="50"/>
      <c r="G13" s="49" t="s">
        <v>8</v>
      </c>
      <c r="H13" s="50"/>
      <c r="I13" s="49" t="s">
        <v>9</v>
      </c>
      <c r="J13" s="50"/>
      <c r="K13" s="49" t="s">
        <v>23</v>
      </c>
      <c r="L13" s="50"/>
      <c r="M13" s="49" t="s">
        <v>24</v>
      </c>
      <c r="N13" s="75"/>
      <c r="O13" s="26"/>
      <c r="P13" s="8"/>
      <c r="Q13" s="60"/>
      <c r="R13" s="61"/>
    </row>
    <row r="14" spans="1:45" s="34" customFormat="1" ht="21.95" customHeight="1" x14ac:dyDescent="0.2">
      <c r="A14" s="92"/>
      <c r="B14" s="94"/>
      <c r="C14" s="92"/>
      <c r="D14" s="94"/>
      <c r="E14" s="92"/>
      <c r="F14" s="94"/>
      <c r="G14" s="92"/>
      <c r="H14" s="94"/>
      <c r="I14" s="92"/>
      <c r="J14" s="94"/>
      <c r="K14" s="92"/>
      <c r="L14" s="94"/>
      <c r="M14" s="92"/>
      <c r="N14" s="93"/>
      <c r="O14" s="31"/>
      <c r="P14" s="32"/>
      <c r="Q14" s="86"/>
      <c r="R14" s="87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</row>
    <row r="15" spans="1:45" s="34" customFormat="1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35"/>
      <c r="P15" s="36"/>
      <c r="Q15" s="88"/>
      <c r="R15" s="89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</row>
    <row r="16" spans="1:45" s="34" customFormat="1" ht="21.95" customHeight="1" x14ac:dyDescent="0.2">
      <c r="A16" s="92"/>
      <c r="B16" s="94"/>
      <c r="C16" s="92"/>
      <c r="D16" s="94"/>
      <c r="E16" s="92"/>
      <c r="F16" s="94"/>
      <c r="G16" s="92"/>
      <c r="H16" s="94"/>
      <c r="I16" s="92"/>
      <c r="J16" s="94"/>
      <c r="K16" s="92"/>
      <c r="L16" s="94"/>
      <c r="M16" s="92"/>
      <c r="N16" s="93"/>
      <c r="O16" s="97"/>
      <c r="P16" s="37"/>
      <c r="Q16" s="95"/>
      <c r="R16" s="9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</row>
    <row r="17" spans="1:45" s="34" customFormat="1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98"/>
      <c r="P17" s="32"/>
      <c r="Q17" s="86"/>
      <c r="R17" s="87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</row>
    <row r="18" spans="1:45" s="34" customFormat="1" ht="21.95" customHeight="1" x14ac:dyDescent="0.2">
      <c r="A18" s="92"/>
      <c r="B18" s="94"/>
      <c r="C18" s="92"/>
      <c r="D18" s="94"/>
      <c r="E18" s="92"/>
      <c r="F18" s="94"/>
      <c r="G18" s="92"/>
      <c r="H18" s="94"/>
      <c r="I18" s="92"/>
      <c r="J18" s="94"/>
      <c r="K18" s="92"/>
      <c r="L18" s="94"/>
      <c r="M18" s="92"/>
      <c r="N18" s="93"/>
      <c r="O18" s="98"/>
      <c r="P18" s="32"/>
      <c r="Q18" s="86"/>
      <c r="R18" s="87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</row>
    <row r="19" spans="1:45" s="34" customFormat="1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31"/>
      <c r="P19" s="32"/>
      <c r="Q19" s="86"/>
      <c r="R19" s="87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</row>
    <row r="20" spans="1:45" s="34" customFormat="1" ht="21.95" customHeight="1" x14ac:dyDescent="0.2">
      <c r="A20" s="92"/>
      <c r="B20" s="94"/>
      <c r="C20" s="92"/>
      <c r="D20" s="94"/>
      <c r="E20" s="92"/>
      <c r="F20" s="94"/>
      <c r="G20" s="92"/>
      <c r="H20" s="94"/>
      <c r="I20" s="92"/>
      <c r="J20" s="94"/>
      <c r="K20" s="92"/>
      <c r="L20" s="94"/>
      <c r="M20" s="92"/>
      <c r="N20" s="93"/>
      <c r="O20" s="31"/>
      <c r="P20" s="32"/>
      <c r="Q20" s="86"/>
      <c r="R20" s="87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5" s="34" customFormat="1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35"/>
      <c r="P21" s="36"/>
      <c r="Q21" s="88"/>
      <c r="R21" s="89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</row>
    <row r="22" spans="1:45" s="34" customFormat="1" ht="21.95" customHeight="1" x14ac:dyDescent="0.2">
      <c r="A22" s="92"/>
      <c r="B22" s="94"/>
      <c r="C22" s="92"/>
      <c r="D22" s="94"/>
      <c r="E22" s="92"/>
      <c r="F22" s="94"/>
      <c r="G22" s="92"/>
      <c r="H22" s="94"/>
      <c r="I22" s="92"/>
      <c r="J22" s="94"/>
      <c r="K22" s="92"/>
      <c r="L22" s="94"/>
      <c r="M22" s="92"/>
      <c r="N22" s="93"/>
      <c r="O22" s="99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</row>
    <row r="23" spans="1:45" s="34" customFormat="1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47"/>
      <c r="O23" s="100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</row>
  </sheetData>
  <mergeCells count="102">
    <mergeCell ref="M22:N22"/>
    <mergeCell ref="O22:O23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41" priority="14" stopIfTrue="1">
      <formula>DAY(C4)&gt;8</formula>
    </cfRule>
  </conditionalFormatting>
  <conditionalFormatting sqref="C8:M10">
    <cfRule type="expression" dxfId="40" priority="13" stopIfTrue="1">
      <formula>AND(DAY(C8)&gt;=1,DAY(C8)&lt;=15)</formula>
    </cfRule>
  </conditionalFormatting>
  <conditionalFormatting sqref="C4:M9">
    <cfRule type="expression" dxfId="39" priority="15">
      <formula>VLOOKUP(DAY(C4),AssignmentDays,1,FALSE)=DAY(C4)</formula>
    </cfRule>
  </conditionalFormatting>
  <conditionalFormatting sqref="A14:N14 A16:N16 A18:N18 A20:N20 A22:N22">
    <cfRule type="expression" dxfId="38" priority="11">
      <formula>A14&lt;&gt;""</formula>
    </cfRule>
  </conditionalFormatting>
  <conditionalFormatting sqref="A15:N15">
    <cfRule type="expression" dxfId="37" priority="10">
      <formula>A15&lt;&gt;""</formula>
    </cfRule>
  </conditionalFormatting>
  <conditionalFormatting sqref="A15:N15">
    <cfRule type="containsText" dxfId="36" priority="9" operator="containsText" text="Flight">
      <formula>NOT(ISERROR(SEARCH("Flight",A15)))</formula>
    </cfRule>
  </conditionalFormatting>
  <conditionalFormatting sqref="A17:N17">
    <cfRule type="expression" dxfId="35" priority="8">
      <formula>A17&lt;&gt;""</formula>
    </cfRule>
  </conditionalFormatting>
  <conditionalFormatting sqref="A17:N17">
    <cfRule type="containsText" dxfId="34" priority="7" operator="containsText" text="Flight">
      <formula>NOT(ISERROR(SEARCH("Flight",A17)))</formula>
    </cfRule>
  </conditionalFormatting>
  <conditionalFormatting sqref="A19:N19">
    <cfRule type="expression" dxfId="33" priority="6">
      <formula>A19&lt;&gt;""</formula>
    </cfRule>
  </conditionalFormatting>
  <conditionalFormatting sqref="A19:N19">
    <cfRule type="containsText" dxfId="32" priority="5" operator="containsText" text="Flight">
      <formula>NOT(ISERROR(SEARCH("Flight",A19)))</formula>
    </cfRule>
  </conditionalFormatting>
  <conditionalFormatting sqref="A21:N21">
    <cfRule type="expression" dxfId="31" priority="4">
      <formula>A21&lt;&gt;""</formula>
    </cfRule>
  </conditionalFormatting>
  <conditionalFormatting sqref="A21:N21">
    <cfRule type="containsText" dxfId="30" priority="3" operator="containsText" text="Flight">
      <formula>NOT(ISERROR(SEARCH("Flight",A21)))</formula>
    </cfRule>
  </conditionalFormatting>
  <conditionalFormatting sqref="A23:N23">
    <cfRule type="expression" dxfId="29" priority="2">
      <formula>A23&lt;&gt;""</formula>
    </cfRule>
  </conditionalFormatting>
  <conditionalFormatting sqref="A23:N23">
    <cfRule type="containsText" dxfId="28" priority="1" operator="containsText" text="Flight">
      <formula>NOT(ISERROR(SEARCH("Flight",A23)))</formula>
    </cfRule>
  </conditionalFormatting>
  <dataValidations count="3">
    <dataValidation type="list" allowBlank="1" showInputMessage="1" showErrorMessage="1" sqref="A17:N17 A19:N19 A21:N21 A23:N23 A15:N15">
      <formula1>Flight.1</formula1>
    </dataValidation>
    <dataValidation type="list" allowBlank="1" showInputMessage="1" showErrorMessage="1" sqref="A16:N16 A18:N18 A20:N20 A22:N22 A14:N14">
      <formula1>Ground.1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6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I19" sqref="I19:R23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18" ht="11.25" customHeight="1" x14ac:dyDescent="0.2"/>
    <row r="2" spans="1:18" ht="18" customHeight="1" x14ac:dyDescent="0.2">
      <c r="A2" s="4"/>
      <c r="B2" s="38" t="s">
        <v>21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51" t="s">
        <v>83</v>
      </c>
      <c r="P2" s="52">
        <v>2013</v>
      </c>
      <c r="Q2" s="52"/>
      <c r="R2" s="66">
        <v>2013</v>
      </c>
    </row>
    <row r="3" spans="1:18" ht="21" customHeight="1" x14ac:dyDescent="0.2">
      <c r="A3" s="4"/>
      <c r="B3" s="3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24"/>
      <c r="O3" s="53"/>
      <c r="P3" s="54"/>
      <c r="Q3" s="54"/>
      <c r="R3" s="67"/>
    </row>
    <row r="4" spans="1:18" ht="18" customHeight="1" x14ac:dyDescent="0.2">
      <c r="A4" s="4"/>
      <c r="B4" s="39"/>
      <c r="C4" s="6">
        <f>IF(DAY(NovSun1)=1,NovSun1-6,NovSun1+1)</f>
        <v>41575</v>
      </c>
      <c r="D4" s="6">
        <f>IF(DAY(NovSun1)=1,NovSun1-5,NovSun1+2)</f>
        <v>41576</v>
      </c>
      <c r="E4" s="6">
        <f>IF(DAY(NovSun1)=1,NovSun1-4,NovSun1+3)</f>
        <v>41577</v>
      </c>
      <c r="F4" s="6">
        <f>IF(DAY(NovSun1)=1,NovSun1-3,NovSun1+4)</f>
        <v>41578</v>
      </c>
      <c r="G4" s="6">
        <f>IF(DAY(NovSun1)=1,NovSun1-2,NovSun1+5)</f>
        <v>41579</v>
      </c>
      <c r="H4" s="6">
        <f>IF(DAY(NovSun1)=1,NovSun1-1,NovSun1+6)</f>
        <v>41580</v>
      </c>
      <c r="I4" s="6">
        <f>IF(DAY(NovSun1)=1,NovSun1,NovSun1+7)</f>
        <v>41581</v>
      </c>
      <c r="J4" s="6"/>
      <c r="K4" s="6"/>
      <c r="L4" s="6"/>
      <c r="M4" s="6"/>
      <c r="N4" s="24"/>
      <c r="O4" s="57"/>
      <c r="P4" s="7"/>
      <c r="Q4" s="58"/>
      <c r="R4" s="59"/>
    </row>
    <row r="5" spans="1:18" ht="18" customHeight="1" x14ac:dyDescent="0.2">
      <c r="A5" s="4"/>
      <c r="B5" s="39"/>
      <c r="C5" s="6">
        <f>IF(DAY(NovSun1)=1,NovSun1+1,NovSun1+8)</f>
        <v>41582</v>
      </c>
      <c r="D5" s="6">
        <f>IF(DAY(NovSun1)=1,NovSun1+2,NovSun1+9)</f>
        <v>41583</v>
      </c>
      <c r="E5" s="6">
        <f>IF(DAY(NovSun1)=1,NovSun1+3,NovSun1+10)</f>
        <v>41584</v>
      </c>
      <c r="F5" s="6">
        <f>IF(DAY(NovSun1)=1,NovSun1+4,NovSun1+11)</f>
        <v>41585</v>
      </c>
      <c r="G5" s="6">
        <f>IF(DAY(NovSun1)=1,NovSun1+5,NovSun1+12)</f>
        <v>41586</v>
      </c>
      <c r="H5" s="6">
        <f>IF(DAY(NovSun1)=1,NovSun1+6,NovSun1+13)</f>
        <v>41587</v>
      </c>
      <c r="I5" s="6">
        <f>IF(DAY(NovSun1)=1,NovSun1+7,NovSun1+14)</f>
        <v>41588</v>
      </c>
      <c r="J5" s="6"/>
      <c r="K5" s="6"/>
      <c r="L5" s="6"/>
      <c r="M5" s="6"/>
      <c r="N5" s="24"/>
      <c r="O5" s="56"/>
      <c r="P5" s="8"/>
      <c r="Q5" s="60"/>
      <c r="R5" s="61"/>
    </row>
    <row r="6" spans="1:18" ht="18" customHeight="1" x14ac:dyDescent="0.2">
      <c r="A6" s="4"/>
      <c r="B6" s="39"/>
      <c r="C6" s="6">
        <f>IF(DAY(NovSun1)=1,NovSun1+8,NovSun1+15)</f>
        <v>41589</v>
      </c>
      <c r="D6" s="6">
        <f>IF(DAY(NovSun1)=1,NovSun1+9,NovSun1+16)</f>
        <v>41590</v>
      </c>
      <c r="E6" s="6">
        <f>IF(DAY(NovSun1)=1,NovSun1+10,NovSun1+17)</f>
        <v>41591</v>
      </c>
      <c r="F6" s="6">
        <f>IF(DAY(NovSun1)=1,NovSun1+11,NovSun1+18)</f>
        <v>41592</v>
      </c>
      <c r="G6" s="6">
        <f>IF(DAY(NovSun1)=1,NovSun1+12,NovSun1+19)</f>
        <v>41593</v>
      </c>
      <c r="H6" s="6">
        <f>IF(DAY(NovSun1)=1,NovSun1+13,NovSun1+20)</f>
        <v>41594</v>
      </c>
      <c r="I6" s="6">
        <f>IF(DAY(NovSun1)=1,NovSun1+14,NovSun1+21)</f>
        <v>41595</v>
      </c>
      <c r="J6" s="6"/>
      <c r="K6" s="6"/>
      <c r="L6" s="6"/>
      <c r="M6" s="6"/>
      <c r="N6" s="24"/>
      <c r="O6" s="56"/>
      <c r="P6" s="8"/>
      <c r="Q6" s="60"/>
      <c r="R6" s="61"/>
    </row>
    <row r="7" spans="1:18" ht="18" customHeight="1" x14ac:dyDescent="0.2">
      <c r="A7" s="4"/>
      <c r="B7" s="39"/>
      <c r="C7" s="6">
        <f>IF(DAY(NovSun1)=1,NovSun1+15,NovSun1+22)</f>
        <v>41596</v>
      </c>
      <c r="D7" s="6">
        <f>IF(DAY(NovSun1)=1,NovSun1+16,NovSun1+23)</f>
        <v>41597</v>
      </c>
      <c r="E7" s="6">
        <f>IF(DAY(NovSun1)=1,NovSun1+17,NovSun1+24)</f>
        <v>41598</v>
      </c>
      <c r="F7" s="6">
        <f>IF(DAY(NovSun1)=1,NovSun1+18,NovSun1+25)</f>
        <v>41599</v>
      </c>
      <c r="G7" s="6">
        <f>IF(DAY(NovSun1)=1,NovSun1+19,NovSun1+26)</f>
        <v>41600</v>
      </c>
      <c r="H7" s="6">
        <f>IF(DAY(NovSun1)=1,NovSun1+20,NovSun1+27)</f>
        <v>41601</v>
      </c>
      <c r="I7" s="6">
        <f>IF(DAY(NovSun1)=1,NovSun1+21,NovSun1+28)</f>
        <v>41602</v>
      </c>
      <c r="J7" s="6"/>
      <c r="K7" s="6"/>
      <c r="L7" s="6"/>
      <c r="M7" s="6"/>
      <c r="N7" s="24"/>
      <c r="O7" s="26"/>
      <c r="P7" s="8"/>
      <c r="Q7" s="60"/>
      <c r="R7" s="61"/>
    </row>
    <row r="8" spans="1:18" ht="18.75" customHeight="1" x14ac:dyDescent="0.2">
      <c r="A8" s="4"/>
      <c r="B8" s="39"/>
      <c r="C8" s="6">
        <f>IF(DAY(NovSun1)=1,NovSun1+22,NovSun1+29)</f>
        <v>41603</v>
      </c>
      <c r="D8" s="6">
        <f>IF(DAY(NovSun1)=1,NovSun1+23,NovSun1+30)</f>
        <v>41604</v>
      </c>
      <c r="E8" s="6">
        <f>IF(DAY(NovSun1)=1,NovSun1+24,NovSun1+31)</f>
        <v>41605</v>
      </c>
      <c r="F8" s="6">
        <f>IF(DAY(NovSun1)=1,NovSun1+25,NovSun1+32)</f>
        <v>41606</v>
      </c>
      <c r="G8" s="6">
        <f>IF(DAY(NovSun1)=1,NovSun1+26,NovSun1+33)</f>
        <v>41607</v>
      </c>
      <c r="H8" s="6">
        <f>IF(DAY(NovSun1)=1,NovSun1+27,NovSun1+34)</f>
        <v>41608</v>
      </c>
      <c r="I8" s="6">
        <f>IF(DAY(NovSun1)=1,NovSun1+28,NovSun1+35)</f>
        <v>41609</v>
      </c>
      <c r="J8" s="6"/>
      <c r="K8" s="6"/>
      <c r="L8" s="6"/>
      <c r="M8" s="6"/>
      <c r="N8" s="24"/>
      <c r="O8" s="26"/>
      <c r="P8" s="8"/>
      <c r="Q8" s="60"/>
      <c r="R8" s="61"/>
    </row>
    <row r="9" spans="1:18" ht="18" customHeight="1" x14ac:dyDescent="0.2">
      <c r="A9" s="4"/>
      <c r="B9" s="39"/>
      <c r="C9" s="6">
        <f>IF(DAY(NovSun1)=1,NovSun1+29,NovSun1+36)</f>
        <v>41610</v>
      </c>
      <c r="D9" s="6">
        <f>IF(DAY(NovSun1)=1,NovSun1+30,NovSun1+37)</f>
        <v>41611</v>
      </c>
      <c r="E9" s="6">
        <f>IF(DAY(NovSun1)=1,NovSun1+31,NovSun1+38)</f>
        <v>41612</v>
      </c>
      <c r="F9" s="6">
        <f>IF(DAY(NovSun1)=1,NovSun1+32,NovSun1+39)</f>
        <v>41613</v>
      </c>
      <c r="G9" s="6">
        <f>IF(DAY(NovSun1)=1,NovSun1+33,NovSun1+40)</f>
        <v>41614</v>
      </c>
      <c r="H9" s="6">
        <f>IF(DAY(NovSun1)=1,NovSun1+34,NovSun1+41)</f>
        <v>41615</v>
      </c>
      <c r="I9" s="6">
        <f>IF(DAY(NovSun1)=1,NovSun1+35,NovSun1+42)</f>
        <v>41616</v>
      </c>
      <c r="J9" s="6"/>
      <c r="K9" s="6"/>
      <c r="L9" s="6"/>
      <c r="M9" s="6"/>
      <c r="N9" s="24"/>
      <c r="O9" s="27"/>
      <c r="P9" s="9"/>
      <c r="Q9" s="62"/>
      <c r="R9" s="63"/>
    </row>
    <row r="10" spans="1:18" ht="18" customHeight="1" x14ac:dyDescent="0.2">
      <c r="A10" s="4"/>
      <c r="B10" s="4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5"/>
      <c r="O10" s="55"/>
      <c r="P10" s="7"/>
      <c r="Q10" s="64"/>
      <c r="R10" s="65"/>
    </row>
    <row r="11" spans="1:18" ht="18" customHeight="1" x14ac:dyDescent="0.2">
      <c r="A11" s="4"/>
      <c r="B11" s="41" t="s">
        <v>11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56"/>
      <c r="P11" s="8"/>
      <c r="Q11" s="60"/>
      <c r="R11" s="61"/>
    </row>
    <row r="12" spans="1:18" ht="18" customHeight="1" x14ac:dyDescent="0.2">
      <c r="A12" s="4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56"/>
      <c r="P12" s="8"/>
      <c r="Q12" s="60"/>
      <c r="R12" s="61"/>
    </row>
    <row r="13" spans="1:18" ht="18" customHeight="1" x14ac:dyDescent="0.2">
      <c r="B13" s="3" t="s">
        <v>5</v>
      </c>
      <c r="C13" s="49" t="s">
        <v>6</v>
      </c>
      <c r="D13" s="50"/>
      <c r="E13" s="49" t="s">
        <v>7</v>
      </c>
      <c r="F13" s="50"/>
      <c r="G13" s="49" t="s">
        <v>8</v>
      </c>
      <c r="H13" s="50"/>
      <c r="I13" s="49" t="s">
        <v>9</v>
      </c>
      <c r="J13" s="50"/>
      <c r="K13" s="49" t="s">
        <v>23</v>
      </c>
      <c r="L13" s="50"/>
      <c r="M13" s="49" t="s">
        <v>24</v>
      </c>
      <c r="N13" s="75"/>
      <c r="O13" s="26"/>
      <c r="P13" s="8"/>
      <c r="Q13" s="60"/>
      <c r="R13" s="61"/>
    </row>
    <row r="14" spans="1:18" ht="21.95" customHeight="1" x14ac:dyDescent="0.2">
      <c r="A14" s="44"/>
      <c r="B14" s="45"/>
      <c r="C14" s="44"/>
      <c r="D14" s="45"/>
      <c r="E14" s="44"/>
      <c r="F14" s="45"/>
      <c r="G14" s="44"/>
      <c r="H14" s="45"/>
      <c r="I14" s="44"/>
      <c r="J14" s="45"/>
      <c r="K14" s="44"/>
      <c r="L14" s="45"/>
      <c r="M14" s="44"/>
      <c r="N14" s="48"/>
      <c r="O14" s="26"/>
      <c r="P14" s="8"/>
      <c r="Q14" s="60"/>
      <c r="R14" s="61"/>
    </row>
    <row r="15" spans="1:18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28"/>
      <c r="P15" s="10"/>
      <c r="Q15" s="62"/>
      <c r="R15" s="63"/>
    </row>
    <row r="16" spans="1:18" ht="21.95" customHeight="1" x14ac:dyDescent="0.2">
      <c r="A16" s="44"/>
      <c r="B16" s="45"/>
      <c r="C16" s="44"/>
      <c r="D16" s="45"/>
      <c r="E16" s="44"/>
      <c r="F16" s="45"/>
      <c r="G16" s="44"/>
      <c r="H16" s="45"/>
      <c r="I16" s="44"/>
      <c r="J16" s="45"/>
      <c r="K16" s="44"/>
      <c r="L16" s="45"/>
      <c r="M16" s="44"/>
      <c r="N16" s="48"/>
      <c r="O16" s="68"/>
      <c r="P16" s="7"/>
      <c r="Q16" s="64"/>
      <c r="R16" s="65"/>
    </row>
    <row r="17" spans="1:45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69"/>
      <c r="P17" s="8"/>
      <c r="Q17" s="60"/>
      <c r="R17" s="61"/>
    </row>
    <row r="18" spans="1:45" ht="21.95" customHeight="1" x14ac:dyDescent="0.2">
      <c r="A18" s="44"/>
      <c r="B18" s="45"/>
      <c r="C18" s="44"/>
      <c r="D18" s="45"/>
      <c r="E18" s="44"/>
      <c r="F18" s="45"/>
      <c r="G18" s="44"/>
      <c r="H18" s="45"/>
      <c r="I18" s="44"/>
      <c r="J18" s="45"/>
      <c r="K18" s="44"/>
      <c r="L18" s="45"/>
      <c r="M18" s="44"/>
      <c r="N18" s="48"/>
      <c r="O18" s="69"/>
      <c r="P18" s="8"/>
      <c r="Q18" s="60"/>
      <c r="R18" s="61"/>
    </row>
    <row r="19" spans="1:45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26"/>
      <c r="P19" s="8"/>
      <c r="Q19" s="60"/>
      <c r="R19" s="61"/>
    </row>
    <row r="20" spans="1:45" ht="21.95" customHeight="1" x14ac:dyDescent="0.2">
      <c r="A20" s="44"/>
      <c r="B20" s="45"/>
      <c r="C20" s="44"/>
      <c r="D20" s="45"/>
      <c r="E20" s="44"/>
      <c r="F20" s="45"/>
      <c r="G20" s="44"/>
      <c r="H20" s="45"/>
      <c r="I20" s="44"/>
      <c r="J20" s="45"/>
      <c r="K20" s="44"/>
      <c r="L20" s="45"/>
      <c r="M20" s="44"/>
      <c r="N20" s="48"/>
      <c r="O20" s="26"/>
      <c r="P20" s="8"/>
      <c r="Q20" s="60"/>
      <c r="R20" s="61"/>
    </row>
    <row r="21" spans="1:45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28"/>
      <c r="P21" s="10"/>
      <c r="Q21" s="62"/>
      <c r="R21" s="63"/>
    </row>
    <row r="22" spans="1:45" ht="21.95" customHeight="1" x14ac:dyDescent="0.2">
      <c r="A22" s="44"/>
      <c r="B22" s="45"/>
      <c r="C22" s="44"/>
      <c r="D22" s="45"/>
      <c r="E22" s="44"/>
      <c r="F22" s="45"/>
      <c r="G22" s="44"/>
      <c r="H22" s="45"/>
      <c r="I22" s="44"/>
      <c r="J22" s="45"/>
      <c r="K22" s="44"/>
      <c r="L22" s="45"/>
      <c r="M22" s="44"/>
      <c r="N22" s="48"/>
      <c r="O22" s="107"/>
      <c r="Q22"/>
      <c r="R22"/>
      <c r="AQ22" s="1"/>
      <c r="AR22" s="1"/>
      <c r="AS22" s="1"/>
    </row>
    <row r="23" spans="1:45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47"/>
      <c r="O23" s="108"/>
      <c r="Q23"/>
      <c r="R23"/>
      <c r="AQ23" s="1"/>
      <c r="AR23" s="1"/>
      <c r="AS23" s="1"/>
    </row>
  </sheetData>
  <mergeCells count="102">
    <mergeCell ref="M22:N22"/>
    <mergeCell ref="O22:O23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27" priority="14" stopIfTrue="1">
      <formula>DAY(C4)&gt;8</formula>
    </cfRule>
  </conditionalFormatting>
  <conditionalFormatting sqref="C8:M10">
    <cfRule type="expression" dxfId="26" priority="13" stopIfTrue="1">
      <formula>AND(DAY(C8)&gt;=1,DAY(C8)&lt;=15)</formula>
    </cfRule>
  </conditionalFormatting>
  <conditionalFormatting sqref="C4:M9">
    <cfRule type="expression" dxfId="25" priority="15">
      <formula>VLOOKUP(DAY(C4),AssignmentDays,1,FALSE)=DAY(C4)</formula>
    </cfRule>
  </conditionalFormatting>
  <conditionalFormatting sqref="A14:N14 A16:N16 A18:N18 A20:N20 A22:N22">
    <cfRule type="expression" dxfId="24" priority="11">
      <formula>A14&lt;&gt;""</formula>
    </cfRule>
  </conditionalFormatting>
  <conditionalFormatting sqref="A15:N15">
    <cfRule type="expression" dxfId="23" priority="10">
      <formula>A15&lt;&gt;""</formula>
    </cfRule>
  </conditionalFormatting>
  <conditionalFormatting sqref="A15:N15">
    <cfRule type="containsText" dxfId="22" priority="9" operator="containsText" text="Flight">
      <formula>NOT(ISERROR(SEARCH("Flight",A15)))</formula>
    </cfRule>
  </conditionalFormatting>
  <conditionalFormatting sqref="A17:N17">
    <cfRule type="expression" dxfId="21" priority="8">
      <formula>A17&lt;&gt;""</formula>
    </cfRule>
  </conditionalFormatting>
  <conditionalFormatting sqref="A17:N17">
    <cfRule type="containsText" dxfId="20" priority="7" operator="containsText" text="Flight">
      <formula>NOT(ISERROR(SEARCH("Flight",A17)))</formula>
    </cfRule>
  </conditionalFormatting>
  <conditionalFormatting sqref="A19:N19">
    <cfRule type="expression" dxfId="19" priority="6">
      <formula>A19&lt;&gt;""</formula>
    </cfRule>
  </conditionalFormatting>
  <conditionalFormatting sqref="A19:N19">
    <cfRule type="containsText" dxfId="18" priority="5" operator="containsText" text="Flight">
      <formula>NOT(ISERROR(SEARCH("Flight",A19)))</formula>
    </cfRule>
  </conditionalFormatting>
  <conditionalFormatting sqref="A21:N21">
    <cfRule type="expression" dxfId="17" priority="4">
      <formula>A21&lt;&gt;""</formula>
    </cfRule>
  </conditionalFormatting>
  <conditionalFormatting sqref="A21:N21">
    <cfRule type="containsText" dxfId="16" priority="3" operator="containsText" text="Flight">
      <formula>NOT(ISERROR(SEARCH("Flight",A21)))</formula>
    </cfRule>
  </conditionalFormatting>
  <conditionalFormatting sqref="A23:N23">
    <cfRule type="expression" dxfId="15" priority="2">
      <formula>A23&lt;&gt;""</formula>
    </cfRule>
  </conditionalFormatting>
  <conditionalFormatting sqref="A23:N23">
    <cfRule type="containsText" dxfId="14" priority="1" operator="containsText" text="Flight">
      <formula>NOT(ISERROR(SEARCH("Flight",A23)))</formula>
    </cfRule>
  </conditionalFormatting>
  <dataValidations count="3">
    <dataValidation type="list" allowBlank="1" showInputMessage="1" showErrorMessage="1" sqref="A17:N17 A19:N19 A21:N21 A23:N23 A15:N15">
      <formula1>Flight.1</formula1>
    </dataValidation>
    <dataValidation type="list" allowBlank="1" showInputMessage="1" showErrorMessage="1" sqref="A16:N16 A18:N18 A20:N20 A22:N22 A14:N14">
      <formula1>Ground.1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68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11</xdr:col>
                    <xdr:colOff>704850</xdr:colOff>
                    <xdr:row>1</xdr:row>
                    <xdr:rowOff>9525</xdr:rowOff>
                  </from>
                  <to>
                    <xdr:col>12</xdr:col>
                    <xdr:colOff>76200</xdr:colOff>
                    <xdr:row>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topLeftCell="A16" zoomScaleNormal="100" zoomScalePageLayoutView="84" workbookViewId="0">
      <selection activeCell="A14" sqref="A14:B14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18" ht="11.25" customHeight="1" x14ac:dyDescent="0.2"/>
    <row r="2" spans="1:18" ht="18" customHeight="1" x14ac:dyDescent="0.2">
      <c r="A2" s="4"/>
      <c r="B2" s="38" t="s">
        <v>22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90" t="s">
        <v>83</v>
      </c>
      <c r="P2" s="52"/>
      <c r="Q2" s="52"/>
      <c r="R2" s="66">
        <v>2013</v>
      </c>
    </row>
    <row r="3" spans="1:18" ht="21" customHeight="1" x14ac:dyDescent="0.2">
      <c r="A3" s="4"/>
      <c r="B3" s="3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5"/>
      <c r="O3" s="91"/>
      <c r="P3" s="54"/>
      <c r="Q3" s="54"/>
      <c r="R3" s="67"/>
    </row>
    <row r="4" spans="1:18" ht="18" customHeight="1" x14ac:dyDescent="0.2">
      <c r="A4" s="4"/>
      <c r="B4" s="39"/>
      <c r="C4" s="6">
        <f>IF(DAY(DecSun1)=1,DecSun1-6,DecSun1+1)</f>
        <v>41603</v>
      </c>
      <c r="D4" s="6">
        <f>IF(DAY(DecSun1)=1,DecSun1-5,DecSun1+2)</f>
        <v>41604</v>
      </c>
      <c r="E4" s="6">
        <f>IF(DAY(DecSun1)=1,DecSun1-4,DecSun1+3)</f>
        <v>41605</v>
      </c>
      <c r="F4" s="6">
        <f>IF(DAY(DecSun1)=1,DecSun1-3,DecSun1+4)</f>
        <v>41606</v>
      </c>
      <c r="G4" s="6">
        <f>IF(DAY(DecSun1)=1,DecSun1-2,DecSun1+5)</f>
        <v>41607</v>
      </c>
      <c r="H4" s="6">
        <f>IF(DAY(DecSun1)=1,DecSun1-1,DecSun1+6)</f>
        <v>41608</v>
      </c>
      <c r="I4" s="6">
        <f>IF(DAY(DecSun1)=1,DecSun1,DecSun1+7)</f>
        <v>41609</v>
      </c>
      <c r="J4" s="6"/>
      <c r="K4" s="6"/>
      <c r="L4" s="6"/>
      <c r="M4" s="6"/>
      <c r="N4" s="24"/>
      <c r="O4" s="57"/>
      <c r="P4" s="30"/>
      <c r="Q4" s="58"/>
      <c r="R4" s="59"/>
    </row>
    <row r="5" spans="1:18" ht="18" customHeight="1" x14ac:dyDescent="0.2">
      <c r="A5" s="4"/>
      <c r="B5" s="39"/>
      <c r="C5" s="6">
        <f>IF(DAY(DecSun1)=1,DecSun1+1,DecSun1+8)</f>
        <v>41610</v>
      </c>
      <c r="D5" s="6">
        <f>IF(DAY(DecSun1)=1,DecSun1+2,DecSun1+9)</f>
        <v>41611</v>
      </c>
      <c r="E5" s="6">
        <f>IF(DAY(DecSun1)=1,DecSun1+3,DecSun1+10)</f>
        <v>41612</v>
      </c>
      <c r="F5" s="6">
        <f>IF(DAY(DecSun1)=1,DecSun1+4,DecSun1+11)</f>
        <v>41613</v>
      </c>
      <c r="G5" s="6">
        <f>IF(DAY(DecSun1)=1,DecSun1+5,DecSun1+12)</f>
        <v>41614</v>
      </c>
      <c r="H5" s="6">
        <f>IF(DAY(DecSun1)=1,DecSun1+6,DecSun1+13)</f>
        <v>41615</v>
      </c>
      <c r="I5" s="6">
        <f>IF(DAY(DecSun1)=1,DecSun1+7,DecSun1+14)</f>
        <v>41616</v>
      </c>
      <c r="J5" s="6"/>
      <c r="K5" s="6"/>
      <c r="L5" s="6"/>
      <c r="M5" s="6"/>
      <c r="N5" s="24"/>
      <c r="O5" s="56"/>
      <c r="P5" s="8"/>
      <c r="Q5" s="60"/>
      <c r="R5" s="61"/>
    </row>
    <row r="6" spans="1:18" ht="18" customHeight="1" x14ac:dyDescent="0.2">
      <c r="A6" s="4"/>
      <c r="B6" s="39"/>
      <c r="C6" s="6">
        <f>IF(DAY(DecSun1)=1,DecSun1+8,DecSun1+15)</f>
        <v>41617</v>
      </c>
      <c r="D6" s="6">
        <f>IF(DAY(DecSun1)=1,DecSun1+9,DecSun1+16)</f>
        <v>41618</v>
      </c>
      <c r="E6" s="6">
        <f>IF(DAY(DecSun1)=1,DecSun1+10,DecSun1+17)</f>
        <v>41619</v>
      </c>
      <c r="F6" s="6">
        <f>IF(DAY(DecSun1)=1,DecSun1+11,DecSun1+18)</f>
        <v>41620</v>
      </c>
      <c r="G6" s="6">
        <f>IF(DAY(DecSun1)=1,DecSun1+12,DecSun1+19)</f>
        <v>41621</v>
      </c>
      <c r="H6" s="6">
        <f>IF(DAY(DecSun1)=1,DecSun1+13,DecSun1+20)</f>
        <v>41622</v>
      </c>
      <c r="I6" s="6">
        <f>IF(DAY(DecSun1)=1,DecSun1+14,DecSun1+21)</f>
        <v>41623</v>
      </c>
      <c r="J6" s="6"/>
      <c r="K6" s="6"/>
      <c r="L6" s="6"/>
      <c r="M6" s="6"/>
      <c r="N6" s="24"/>
      <c r="O6" s="56"/>
      <c r="P6" s="8"/>
      <c r="Q6" s="60"/>
      <c r="R6" s="61"/>
    </row>
    <row r="7" spans="1:18" ht="18" customHeight="1" x14ac:dyDescent="0.2">
      <c r="A7" s="4"/>
      <c r="B7" s="39"/>
      <c r="C7" s="6">
        <f>IF(DAY(DecSun1)=1,DecSun1+15,DecSun1+22)</f>
        <v>41624</v>
      </c>
      <c r="D7" s="6">
        <f>IF(DAY(DecSun1)=1,DecSun1+16,DecSun1+23)</f>
        <v>41625</v>
      </c>
      <c r="E7" s="6">
        <f>IF(DAY(DecSun1)=1,DecSun1+17,DecSun1+24)</f>
        <v>41626</v>
      </c>
      <c r="F7" s="6">
        <f>IF(DAY(DecSun1)=1,DecSun1+18,DecSun1+25)</f>
        <v>41627</v>
      </c>
      <c r="G7" s="6">
        <f>IF(DAY(DecSun1)=1,DecSun1+19,DecSun1+26)</f>
        <v>41628</v>
      </c>
      <c r="H7" s="6">
        <f>IF(DAY(DecSun1)=1,DecSun1+20,DecSun1+27)</f>
        <v>41629</v>
      </c>
      <c r="I7" s="6">
        <f>IF(DAY(DecSun1)=1,DecSun1+21,DecSun1+28)</f>
        <v>41630</v>
      </c>
      <c r="J7" s="6"/>
      <c r="K7" s="6"/>
      <c r="L7" s="6"/>
      <c r="M7" s="6"/>
      <c r="N7" s="24"/>
      <c r="O7" s="26"/>
      <c r="P7" s="8"/>
      <c r="Q7" s="60"/>
      <c r="R7" s="61"/>
    </row>
    <row r="8" spans="1:18" ht="18.75" customHeight="1" x14ac:dyDescent="0.2">
      <c r="A8" s="4"/>
      <c r="B8" s="39"/>
      <c r="C8" s="6">
        <f>IF(DAY(DecSun1)=1,DecSun1+22,DecSun1+29)</f>
        <v>41631</v>
      </c>
      <c r="D8" s="6">
        <f>IF(DAY(DecSun1)=1,DecSun1+23,DecSun1+30)</f>
        <v>41632</v>
      </c>
      <c r="E8" s="6">
        <f>IF(DAY(DecSun1)=1,DecSun1+24,DecSun1+31)</f>
        <v>41633</v>
      </c>
      <c r="F8" s="6">
        <f>IF(DAY(DecSun1)=1,DecSun1+25,DecSun1+32)</f>
        <v>41634</v>
      </c>
      <c r="G8" s="6">
        <f>IF(DAY(DecSun1)=1,DecSun1+26,DecSun1+33)</f>
        <v>41635</v>
      </c>
      <c r="H8" s="6">
        <f>IF(DAY(DecSun1)=1,DecSun1+27,DecSun1+34)</f>
        <v>41636</v>
      </c>
      <c r="I8" s="6">
        <f>IF(DAY(DecSun1)=1,DecSun1+28,DecSun1+35)</f>
        <v>41637</v>
      </c>
      <c r="J8" s="6"/>
      <c r="K8" s="6"/>
      <c r="L8" s="6"/>
      <c r="M8" s="6"/>
      <c r="N8" s="24"/>
      <c r="O8" s="26"/>
      <c r="P8" s="8"/>
      <c r="Q8" s="60"/>
      <c r="R8" s="61"/>
    </row>
    <row r="9" spans="1:18" ht="18" customHeight="1" x14ac:dyDescent="0.2">
      <c r="A9" s="4"/>
      <c r="B9" s="39"/>
      <c r="C9" s="6">
        <f>IF(DAY(DecSun1)=1,DecSun1+29,DecSun1+36)</f>
        <v>41638</v>
      </c>
      <c r="D9" s="6">
        <f>IF(DAY(DecSun1)=1,DecSun1+30,DecSun1+37)</f>
        <v>41639</v>
      </c>
      <c r="E9" s="6">
        <f>IF(DAY(DecSun1)=1,DecSun1+31,DecSun1+38)</f>
        <v>41640</v>
      </c>
      <c r="F9" s="6">
        <f>IF(DAY(DecSun1)=1,DecSun1+32,DecSun1+39)</f>
        <v>41641</v>
      </c>
      <c r="G9" s="6">
        <f>IF(DAY(DecSun1)=1,DecSun1+33,DecSun1+40)</f>
        <v>41642</v>
      </c>
      <c r="H9" s="6">
        <f>IF(DAY(DecSun1)=1,DecSun1+34,DecSun1+41)</f>
        <v>41643</v>
      </c>
      <c r="I9" s="6">
        <f>IF(DAY(DecSun1)=1,DecSun1+35,DecSun1+42)</f>
        <v>41644</v>
      </c>
      <c r="J9" s="6"/>
      <c r="K9" s="6"/>
      <c r="L9" s="6"/>
      <c r="M9" s="6"/>
      <c r="N9" s="24"/>
      <c r="O9" s="27"/>
      <c r="P9" s="9"/>
      <c r="Q9" s="62"/>
      <c r="R9" s="63"/>
    </row>
    <row r="10" spans="1:18" ht="18" customHeight="1" x14ac:dyDescent="0.2">
      <c r="A10" s="4"/>
      <c r="B10" s="4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5"/>
      <c r="O10" s="55"/>
      <c r="P10" s="7"/>
      <c r="Q10" s="64"/>
      <c r="R10" s="65"/>
    </row>
    <row r="11" spans="1:18" ht="18" customHeight="1" x14ac:dyDescent="0.2">
      <c r="A11" s="4"/>
      <c r="B11" s="41" t="s">
        <v>11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56"/>
      <c r="P11" s="8"/>
      <c r="Q11" s="60"/>
      <c r="R11" s="61"/>
    </row>
    <row r="12" spans="1:18" ht="18" customHeight="1" x14ac:dyDescent="0.2">
      <c r="A12" s="4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56"/>
      <c r="P12" s="8"/>
      <c r="Q12" s="60"/>
      <c r="R12" s="61"/>
    </row>
    <row r="13" spans="1:18" ht="18" customHeight="1" x14ac:dyDescent="0.2">
      <c r="B13" s="3" t="s">
        <v>5</v>
      </c>
      <c r="C13" s="49" t="s">
        <v>6</v>
      </c>
      <c r="D13" s="50"/>
      <c r="E13" s="49" t="s">
        <v>7</v>
      </c>
      <c r="F13" s="50"/>
      <c r="G13" s="49" t="s">
        <v>8</v>
      </c>
      <c r="H13" s="50"/>
      <c r="I13" s="49" t="s">
        <v>9</v>
      </c>
      <c r="J13" s="50"/>
      <c r="K13" s="49" t="s">
        <v>23</v>
      </c>
      <c r="L13" s="50"/>
      <c r="M13" s="49" t="s">
        <v>24</v>
      </c>
      <c r="N13" s="75"/>
      <c r="O13" s="26"/>
      <c r="P13" s="8"/>
      <c r="Q13" s="60"/>
      <c r="R13" s="61"/>
    </row>
    <row r="14" spans="1:18" ht="21.95" customHeight="1" x14ac:dyDescent="0.2">
      <c r="A14" s="44"/>
      <c r="B14" s="45"/>
      <c r="C14" s="44"/>
      <c r="D14" s="45"/>
      <c r="E14" s="44"/>
      <c r="F14" s="45"/>
      <c r="G14" s="44"/>
      <c r="H14" s="45"/>
      <c r="I14" s="44"/>
      <c r="J14" s="45"/>
      <c r="K14" s="44"/>
      <c r="L14" s="45"/>
      <c r="M14" s="44"/>
      <c r="N14" s="48"/>
      <c r="O14" s="26"/>
      <c r="P14" s="8"/>
      <c r="Q14" s="60"/>
      <c r="R14" s="61"/>
    </row>
    <row r="15" spans="1:18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28"/>
      <c r="P15" s="10"/>
      <c r="Q15" s="62"/>
      <c r="R15" s="63"/>
    </row>
    <row r="16" spans="1:18" ht="21.95" customHeight="1" x14ac:dyDescent="0.2">
      <c r="A16" s="44"/>
      <c r="B16" s="45"/>
      <c r="C16" s="44"/>
      <c r="D16" s="45"/>
      <c r="E16" s="44"/>
      <c r="F16" s="45"/>
      <c r="G16" s="44"/>
      <c r="H16" s="45"/>
      <c r="I16" s="44"/>
      <c r="J16" s="45"/>
      <c r="K16" s="44"/>
      <c r="L16" s="45"/>
      <c r="M16" s="44"/>
      <c r="N16" s="48"/>
      <c r="O16" s="68"/>
      <c r="P16" s="7"/>
      <c r="Q16" s="64"/>
      <c r="R16" s="65"/>
    </row>
    <row r="17" spans="1:45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69"/>
      <c r="P17" s="8"/>
      <c r="Q17" s="60"/>
      <c r="R17" s="61"/>
    </row>
    <row r="18" spans="1:45" ht="21.95" customHeight="1" x14ac:dyDescent="0.2">
      <c r="A18" s="44"/>
      <c r="B18" s="45"/>
      <c r="C18" s="44"/>
      <c r="D18" s="45"/>
      <c r="E18" s="44"/>
      <c r="F18" s="45"/>
      <c r="G18" s="44"/>
      <c r="H18" s="45"/>
      <c r="I18" s="44"/>
      <c r="J18" s="45"/>
      <c r="K18" s="44"/>
      <c r="L18" s="45"/>
      <c r="M18" s="44"/>
      <c r="N18" s="48"/>
      <c r="O18" s="69"/>
      <c r="P18" s="8"/>
      <c r="Q18" s="60"/>
      <c r="R18" s="61"/>
    </row>
    <row r="19" spans="1:45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26"/>
      <c r="P19" s="8"/>
      <c r="Q19" s="60"/>
      <c r="R19" s="61"/>
    </row>
    <row r="20" spans="1:45" ht="21.95" customHeight="1" x14ac:dyDescent="0.2">
      <c r="A20" s="44"/>
      <c r="B20" s="45"/>
      <c r="C20" s="44"/>
      <c r="D20" s="45"/>
      <c r="E20" s="44"/>
      <c r="F20" s="45"/>
      <c r="G20" s="44"/>
      <c r="H20" s="45"/>
      <c r="I20" s="44"/>
      <c r="J20" s="45"/>
      <c r="K20" s="44"/>
      <c r="L20" s="45"/>
      <c r="M20" s="44"/>
      <c r="N20" s="48"/>
      <c r="O20" s="26"/>
      <c r="P20" s="8"/>
      <c r="Q20" s="60"/>
      <c r="R20" s="61"/>
    </row>
    <row r="21" spans="1:45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28"/>
      <c r="P21" s="10"/>
      <c r="Q21" s="62"/>
      <c r="R21" s="63"/>
    </row>
    <row r="22" spans="1:45" ht="21.95" customHeight="1" x14ac:dyDescent="0.2">
      <c r="A22" s="44"/>
      <c r="B22" s="45"/>
      <c r="C22" s="44"/>
      <c r="D22" s="45"/>
      <c r="E22" s="44"/>
      <c r="F22" s="45"/>
      <c r="G22" s="44"/>
      <c r="H22" s="45"/>
      <c r="I22" s="44"/>
      <c r="J22" s="45"/>
      <c r="K22" s="44"/>
      <c r="L22" s="45"/>
      <c r="M22" s="44"/>
      <c r="N22" s="45"/>
      <c r="O22"/>
      <c r="Q22"/>
      <c r="R22"/>
      <c r="AP22" s="1"/>
      <c r="AQ22" s="1"/>
      <c r="AR22" s="1"/>
      <c r="AS22" s="1"/>
    </row>
    <row r="23" spans="1:45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47"/>
      <c r="O23"/>
      <c r="Q23"/>
      <c r="R23"/>
      <c r="AP23" s="1"/>
      <c r="AQ23" s="1"/>
      <c r="AR23" s="1"/>
      <c r="AS23" s="1"/>
    </row>
  </sheetData>
  <mergeCells count="101"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13" priority="14" stopIfTrue="1">
      <formula>DAY(C4)&gt;8</formula>
    </cfRule>
  </conditionalFormatting>
  <conditionalFormatting sqref="C8:M10">
    <cfRule type="expression" dxfId="12" priority="13" stopIfTrue="1">
      <formula>AND(DAY(C8)&gt;=1,DAY(C8)&lt;=15)</formula>
    </cfRule>
  </conditionalFormatting>
  <conditionalFormatting sqref="C4:M9">
    <cfRule type="expression" dxfId="11" priority="15">
      <formula>VLOOKUP(DAY(C4),AssignmentDays,1,FALSE)=DAY(C4)</formula>
    </cfRule>
  </conditionalFormatting>
  <conditionalFormatting sqref="A14:N14 A16:N16 A18:N18 A20:N20 A22:N22">
    <cfRule type="expression" dxfId="10" priority="11">
      <formula>A14&lt;&gt;""</formula>
    </cfRule>
  </conditionalFormatting>
  <conditionalFormatting sqref="A15:N15">
    <cfRule type="expression" dxfId="9" priority="10">
      <formula>A15&lt;&gt;""</formula>
    </cfRule>
  </conditionalFormatting>
  <conditionalFormatting sqref="A15:N15">
    <cfRule type="containsText" dxfId="8" priority="9" operator="containsText" text="Flight">
      <formula>NOT(ISERROR(SEARCH("Flight",A15)))</formula>
    </cfRule>
  </conditionalFormatting>
  <conditionalFormatting sqref="A17:N17">
    <cfRule type="expression" dxfId="7" priority="8">
      <formula>A17&lt;&gt;""</formula>
    </cfRule>
  </conditionalFormatting>
  <conditionalFormatting sqref="A17:N17">
    <cfRule type="containsText" dxfId="6" priority="7" operator="containsText" text="Flight">
      <formula>NOT(ISERROR(SEARCH("Flight",A17)))</formula>
    </cfRule>
  </conditionalFormatting>
  <conditionalFormatting sqref="A19:N19">
    <cfRule type="expression" dxfId="5" priority="6">
      <formula>A19&lt;&gt;""</formula>
    </cfRule>
  </conditionalFormatting>
  <conditionalFormatting sqref="A19:N19">
    <cfRule type="containsText" dxfId="4" priority="5" operator="containsText" text="Flight">
      <formula>NOT(ISERROR(SEARCH("Flight",A19)))</formula>
    </cfRule>
  </conditionalFormatting>
  <conditionalFormatting sqref="A21:N21">
    <cfRule type="expression" dxfId="3" priority="4">
      <formula>A21&lt;&gt;""</formula>
    </cfRule>
  </conditionalFormatting>
  <conditionalFormatting sqref="A21:N21">
    <cfRule type="containsText" dxfId="2" priority="3" operator="containsText" text="Flight">
      <formula>NOT(ISERROR(SEARCH("Flight",A21)))</formula>
    </cfRule>
  </conditionalFormatting>
  <conditionalFormatting sqref="A23:N23">
    <cfRule type="expression" dxfId="1" priority="2">
      <formula>A23&lt;&gt;""</formula>
    </cfRule>
  </conditionalFormatting>
  <conditionalFormatting sqref="A23:N23">
    <cfRule type="containsText" dxfId="0" priority="1" operator="containsText" text="Flight">
      <formula>NOT(ISERROR(SEARCH("Flight",A23)))</formula>
    </cfRule>
  </conditionalFormatting>
  <dataValidations count="3">
    <dataValidation type="list" allowBlank="1" showInputMessage="1" showErrorMessage="1" sqref="A17:N17 A19:N19 A21:N21 A23:N23 A15:N15">
      <formula1>Flight.1</formula1>
    </dataValidation>
    <dataValidation type="list" allowBlank="1" showInputMessage="1" showErrorMessage="1" sqref="A16:N16 A18:N18 A20:N20 A22:N22 A14:N14">
      <formula1>Ground.1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68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9"/>
  <sheetViews>
    <sheetView workbookViewId="0">
      <selection sqref="A1:A29"/>
    </sheetView>
  </sheetViews>
  <sheetFormatPr defaultRowHeight="12.75" x14ac:dyDescent="0.2"/>
  <cols>
    <col min="1" max="2" width="29.42578125" customWidth="1"/>
  </cols>
  <sheetData>
    <row r="2" spans="1:1" x14ac:dyDescent="0.2">
      <c r="A2" s="14" t="s">
        <v>48</v>
      </c>
    </row>
    <row r="3" spans="1:1" x14ac:dyDescent="0.2">
      <c r="A3" s="14" t="s">
        <v>49</v>
      </c>
    </row>
    <row r="4" spans="1:1" x14ac:dyDescent="0.2">
      <c r="A4" s="14" t="s">
        <v>50</v>
      </c>
    </row>
    <row r="5" spans="1:1" x14ac:dyDescent="0.2">
      <c r="A5" s="14" t="s">
        <v>51</v>
      </c>
    </row>
    <row r="6" spans="1:1" x14ac:dyDescent="0.2">
      <c r="A6" s="14" t="s">
        <v>52</v>
      </c>
    </row>
    <row r="7" spans="1:1" x14ac:dyDescent="0.2">
      <c r="A7" s="15" t="s">
        <v>53</v>
      </c>
    </row>
    <row r="8" spans="1:1" x14ac:dyDescent="0.2">
      <c r="A8" s="14" t="s">
        <v>54</v>
      </c>
    </row>
    <row r="9" spans="1:1" x14ac:dyDescent="0.2">
      <c r="A9" s="14" t="s">
        <v>55</v>
      </c>
    </row>
    <row r="10" spans="1:1" x14ac:dyDescent="0.2">
      <c r="A10" s="14" t="s">
        <v>56</v>
      </c>
    </row>
    <row r="11" spans="1:1" x14ac:dyDescent="0.2">
      <c r="A11" s="15" t="s">
        <v>57</v>
      </c>
    </row>
    <row r="12" spans="1:1" x14ac:dyDescent="0.2">
      <c r="A12" s="15" t="s">
        <v>58</v>
      </c>
    </row>
    <row r="13" spans="1:1" x14ac:dyDescent="0.2">
      <c r="A13" s="15" t="s">
        <v>59</v>
      </c>
    </row>
    <row r="14" spans="1:1" x14ac:dyDescent="0.2">
      <c r="A14" s="15" t="s">
        <v>60</v>
      </c>
    </row>
    <row r="15" spans="1:1" x14ac:dyDescent="0.2">
      <c r="A15" s="15" t="s">
        <v>61</v>
      </c>
    </row>
    <row r="16" spans="1:1" x14ac:dyDescent="0.2">
      <c r="A16" s="15" t="s">
        <v>62</v>
      </c>
    </row>
    <row r="17" spans="1:1" x14ac:dyDescent="0.2">
      <c r="A17" s="15" t="s">
        <v>63</v>
      </c>
    </row>
    <row r="18" spans="1:1" x14ac:dyDescent="0.2">
      <c r="A18" s="15" t="s">
        <v>64</v>
      </c>
    </row>
    <row r="19" spans="1:1" x14ac:dyDescent="0.2">
      <c r="A19" s="14" t="s">
        <v>65</v>
      </c>
    </row>
    <row r="20" spans="1:1" x14ac:dyDescent="0.2">
      <c r="A20" s="15" t="s">
        <v>66</v>
      </c>
    </row>
    <row r="21" spans="1:1" x14ac:dyDescent="0.2">
      <c r="A21" s="15" t="s">
        <v>67</v>
      </c>
    </row>
    <row r="22" spans="1:1" x14ac:dyDescent="0.2">
      <c r="A22" s="15" t="s">
        <v>68</v>
      </c>
    </row>
    <row r="23" spans="1:1" x14ac:dyDescent="0.2">
      <c r="A23" s="15" t="s">
        <v>69</v>
      </c>
    </row>
    <row r="24" spans="1:1" x14ac:dyDescent="0.2">
      <c r="A24" s="15" t="s">
        <v>70</v>
      </c>
    </row>
    <row r="25" spans="1:1" x14ac:dyDescent="0.2">
      <c r="A25" s="15" t="s">
        <v>71</v>
      </c>
    </row>
    <row r="26" spans="1:1" x14ac:dyDescent="0.2">
      <c r="A26" s="15" t="s">
        <v>72</v>
      </c>
    </row>
    <row r="27" spans="1:1" x14ac:dyDescent="0.2">
      <c r="A27" s="15" t="s">
        <v>73</v>
      </c>
    </row>
    <row r="28" spans="1:1" x14ac:dyDescent="0.2">
      <c r="A28" s="15" t="s">
        <v>74</v>
      </c>
    </row>
    <row r="29" spans="1:1" x14ac:dyDescent="0.2">
      <c r="A29" s="15" t="s">
        <v>75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2"/>
  <sheetViews>
    <sheetView workbookViewId="0">
      <selection sqref="A1:A32"/>
    </sheetView>
  </sheetViews>
  <sheetFormatPr defaultRowHeight="12.75" x14ac:dyDescent="0.2"/>
  <cols>
    <col min="1" max="1" width="22.140625" customWidth="1"/>
  </cols>
  <sheetData>
    <row r="2" spans="1:1" x14ac:dyDescent="0.2">
      <c r="A2" s="16" t="s">
        <v>25</v>
      </c>
    </row>
    <row r="3" spans="1:1" x14ac:dyDescent="0.2">
      <c r="A3" s="16" t="s">
        <v>26</v>
      </c>
    </row>
    <row r="4" spans="1:1" x14ac:dyDescent="0.2">
      <c r="A4" s="16" t="s">
        <v>27</v>
      </c>
    </row>
    <row r="5" spans="1:1" x14ac:dyDescent="0.2">
      <c r="A5" s="16" t="s">
        <v>28</v>
      </c>
    </row>
    <row r="6" spans="1:1" x14ac:dyDescent="0.2">
      <c r="A6" s="16" t="s">
        <v>29</v>
      </c>
    </row>
    <row r="7" spans="1:1" x14ac:dyDescent="0.2">
      <c r="A7" s="16" t="s">
        <v>30</v>
      </c>
    </row>
    <row r="8" spans="1:1" x14ac:dyDescent="0.2">
      <c r="A8" s="16" t="s">
        <v>31</v>
      </c>
    </row>
    <row r="9" spans="1:1" x14ac:dyDescent="0.2">
      <c r="A9" s="16" t="s">
        <v>32</v>
      </c>
    </row>
    <row r="10" spans="1:1" x14ac:dyDescent="0.2">
      <c r="A10" s="16" t="s">
        <v>33</v>
      </c>
    </row>
    <row r="11" spans="1:1" x14ac:dyDescent="0.2">
      <c r="A11" s="16" t="s">
        <v>76</v>
      </c>
    </row>
    <row r="12" spans="1:1" x14ac:dyDescent="0.2">
      <c r="A12" s="16" t="s">
        <v>34</v>
      </c>
    </row>
    <row r="13" spans="1:1" x14ac:dyDescent="0.2">
      <c r="A13" s="16" t="s">
        <v>35</v>
      </c>
    </row>
    <row r="14" spans="1:1" x14ac:dyDescent="0.2">
      <c r="A14" s="16" t="s">
        <v>36</v>
      </c>
    </row>
    <row r="15" spans="1:1" x14ac:dyDescent="0.2">
      <c r="A15" s="16" t="s">
        <v>37</v>
      </c>
    </row>
    <row r="16" spans="1:1" x14ac:dyDescent="0.2">
      <c r="A16" s="16" t="s">
        <v>38</v>
      </c>
    </row>
    <row r="17" spans="1:1" x14ac:dyDescent="0.2">
      <c r="A17" s="16" t="s">
        <v>39</v>
      </c>
    </row>
    <row r="18" spans="1:1" x14ac:dyDescent="0.2">
      <c r="A18" s="16" t="s">
        <v>40</v>
      </c>
    </row>
    <row r="19" spans="1:1" x14ac:dyDescent="0.2">
      <c r="A19" s="16" t="s">
        <v>41</v>
      </c>
    </row>
    <row r="20" spans="1:1" x14ac:dyDescent="0.2">
      <c r="A20" s="16" t="s">
        <v>42</v>
      </c>
    </row>
    <row r="21" spans="1:1" x14ac:dyDescent="0.2">
      <c r="A21" s="16" t="s">
        <v>77</v>
      </c>
    </row>
    <row r="22" spans="1:1" x14ac:dyDescent="0.2">
      <c r="A22" s="16" t="s">
        <v>43</v>
      </c>
    </row>
    <row r="23" spans="1:1" x14ac:dyDescent="0.2">
      <c r="A23" s="16" t="s">
        <v>44</v>
      </c>
    </row>
    <row r="24" spans="1:1" x14ac:dyDescent="0.2">
      <c r="A24" s="16" t="s">
        <v>45</v>
      </c>
    </row>
    <row r="25" spans="1:1" x14ac:dyDescent="0.2">
      <c r="A25" s="16" t="s">
        <v>46</v>
      </c>
    </row>
    <row r="26" spans="1:1" x14ac:dyDescent="0.2">
      <c r="A26" s="16" t="s">
        <v>78</v>
      </c>
    </row>
    <row r="27" spans="1:1" x14ac:dyDescent="0.2">
      <c r="A27" s="16" t="s">
        <v>79</v>
      </c>
    </row>
    <row r="28" spans="1:1" x14ac:dyDescent="0.2">
      <c r="A28" s="16" t="s">
        <v>80</v>
      </c>
    </row>
    <row r="29" spans="1:1" x14ac:dyDescent="0.2">
      <c r="A29" s="16" t="s">
        <v>81</v>
      </c>
    </row>
    <row r="30" spans="1:1" x14ac:dyDescent="0.2">
      <c r="A30" s="16" t="s">
        <v>82</v>
      </c>
    </row>
    <row r="31" spans="1:1" x14ac:dyDescent="0.2">
      <c r="A31" s="16" t="s">
        <v>75</v>
      </c>
    </row>
    <row r="32" spans="1:1" x14ac:dyDescent="0.2">
      <c r="A32" s="16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C14" sqref="C14:H15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18" ht="11.25" customHeight="1" x14ac:dyDescent="0.2"/>
    <row r="2" spans="1:18" ht="18" customHeight="1" x14ac:dyDescent="0.2">
      <c r="A2" s="4"/>
      <c r="B2" s="38" t="s">
        <v>12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51" t="s">
        <v>83</v>
      </c>
      <c r="P2" s="52"/>
      <c r="Q2" s="52"/>
      <c r="R2" s="66">
        <v>2013</v>
      </c>
    </row>
    <row r="3" spans="1:18" ht="21" customHeight="1" x14ac:dyDescent="0.2">
      <c r="A3" s="4"/>
      <c r="B3" s="3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24"/>
      <c r="O3" s="53"/>
      <c r="P3" s="54"/>
      <c r="Q3" s="54"/>
      <c r="R3" s="67"/>
    </row>
    <row r="4" spans="1:18" ht="18" customHeight="1" x14ac:dyDescent="0.2">
      <c r="A4" s="4"/>
      <c r="B4" s="39"/>
      <c r="C4" s="6">
        <f>IF(DAY(FebSun1)=1,FebSun1-6,FebSun1+1)</f>
        <v>41302</v>
      </c>
      <c r="D4" s="6">
        <f>IF(DAY(FebSun1)=1,FebSun1-5,FebSun1+2)</f>
        <v>41303</v>
      </c>
      <c r="E4" s="6">
        <f>IF(DAY(FebSun1)=1,FebSun1-4,FebSun1+3)</f>
        <v>41304</v>
      </c>
      <c r="F4" s="6">
        <f>IF(DAY(FebSun1)=1,FebSun1-3,FebSun1+4)</f>
        <v>41305</v>
      </c>
      <c r="G4" s="6">
        <f>IF(DAY(FebSun1)=1,FebSun1-2,FebSun1+5)</f>
        <v>41306</v>
      </c>
      <c r="H4" s="6">
        <f>IF(DAY(FebSun1)=1,FebSun1-1,FebSun1+6)</f>
        <v>41307</v>
      </c>
      <c r="I4" s="6">
        <f>IF(DAY(FebSun1)=1,FebSun1,FebSun1+7)</f>
        <v>41308</v>
      </c>
      <c r="J4" s="6"/>
      <c r="K4" s="6"/>
      <c r="L4" s="6"/>
      <c r="M4" s="6"/>
      <c r="N4" s="24"/>
      <c r="O4" s="57"/>
      <c r="P4" s="7"/>
      <c r="Q4" s="58"/>
      <c r="R4" s="59"/>
    </row>
    <row r="5" spans="1:18" ht="18" customHeight="1" x14ac:dyDescent="0.2">
      <c r="A5" s="4"/>
      <c r="B5" s="39"/>
      <c r="C5" s="6">
        <f>IF(DAY(FebSun1)=1,FebSun1+1,FebSun1+8)</f>
        <v>41309</v>
      </c>
      <c r="D5" s="6">
        <f>IF(DAY(FebSun1)=1,FebSun1+2,FebSun1+9)</f>
        <v>41310</v>
      </c>
      <c r="E5" s="6">
        <f>IF(DAY(FebSun1)=1,FebSun1+3,FebSun1+10)</f>
        <v>41311</v>
      </c>
      <c r="F5" s="6">
        <f>IF(DAY(FebSun1)=1,FebSun1+4,FebSun1+11)</f>
        <v>41312</v>
      </c>
      <c r="G5" s="6">
        <f>IF(DAY(FebSun1)=1,FebSun1+5,FebSun1+12)</f>
        <v>41313</v>
      </c>
      <c r="H5" s="6">
        <f>IF(DAY(FebSun1)=1,FebSun1+6,FebSun1+13)</f>
        <v>41314</v>
      </c>
      <c r="I5" s="6">
        <f>IF(DAY(FebSun1)=1,FebSun1+7,FebSun1+14)</f>
        <v>41315</v>
      </c>
      <c r="J5" s="6"/>
      <c r="K5" s="6"/>
      <c r="L5" s="6"/>
      <c r="M5" s="6"/>
      <c r="N5" s="24"/>
      <c r="O5" s="56"/>
      <c r="P5" s="8"/>
      <c r="Q5" s="60"/>
      <c r="R5" s="61"/>
    </row>
    <row r="6" spans="1:18" ht="18" customHeight="1" x14ac:dyDescent="0.2">
      <c r="A6" s="4"/>
      <c r="B6" s="39"/>
      <c r="C6" s="6">
        <f>IF(DAY(FebSun1)=1,FebSun1+8,FebSun1+15)</f>
        <v>41316</v>
      </c>
      <c r="D6" s="6">
        <f>IF(DAY(FebSun1)=1,FebSun1+9,FebSun1+16)</f>
        <v>41317</v>
      </c>
      <c r="E6" s="6">
        <f>IF(DAY(FebSun1)=1,FebSun1+10,FebSun1+17)</f>
        <v>41318</v>
      </c>
      <c r="F6" s="6">
        <f>IF(DAY(FebSun1)=1,FebSun1+11,FebSun1+18)</f>
        <v>41319</v>
      </c>
      <c r="G6" s="6">
        <f>IF(DAY(FebSun1)=1,FebSun1+12,FebSun1+19)</f>
        <v>41320</v>
      </c>
      <c r="H6" s="6">
        <f>IF(DAY(FebSun1)=1,FebSun1+13,FebSun1+20)</f>
        <v>41321</v>
      </c>
      <c r="I6" s="6">
        <f>IF(DAY(FebSun1)=1,FebSun1+14,FebSun1+21)</f>
        <v>41322</v>
      </c>
      <c r="J6" s="6"/>
      <c r="K6" s="6"/>
      <c r="L6" s="6"/>
      <c r="M6" s="6"/>
      <c r="N6" s="24"/>
      <c r="O6" s="56"/>
      <c r="P6" s="8"/>
      <c r="Q6" s="60"/>
      <c r="R6" s="61"/>
    </row>
    <row r="7" spans="1:18" ht="18" customHeight="1" x14ac:dyDescent="0.2">
      <c r="A7" s="4"/>
      <c r="B7" s="39"/>
      <c r="C7" s="6">
        <f>IF(DAY(FebSun1)=1,FebSun1+15,FebSun1+22)</f>
        <v>41323</v>
      </c>
      <c r="D7" s="6">
        <f>IF(DAY(FebSun1)=1,FebSun1+16,FebSun1+23)</f>
        <v>41324</v>
      </c>
      <c r="E7" s="6">
        <f>IF(DAY(FebSun1)=1,FebSun1+17,FebSun1+24)</f>
        <v>41325</v>
      </c>
      <c r="F7" s="6">
        <f>IF(DAY(FebSun1)=1,FebSun1+18,FebSun1+25)</f>
        <v>41326</v>
      </c>
      <c r="G7" s="6">
        <f>IF(DAY(FebSun1)=1,FebSun1+19,FebSun1+26)</f>
        <v>41327</v>
      </c>
      <c r="H7" s="6">
        <f>IF(DAY(FebSun1)=1,FebSun1+20,FebSun1+27)</f>
        <v>41328</v>
      </c>
      <c r="I7" s="6">
        <f>IF(DAY(FebSun1)=1,FebSun1+21,FebSun1+28)</f>
        <v>41329</v>
      </c>
      <c r="J7" s="6"/>
      <c r="K7" s="6"/>
      <c r="L7" s="6"/>
      <c r="M7" s="6"/>
      <c r="N7" s="24"/>
      <c r="O7" s="26"/>
      <c r="P7" s="8"/>
      <c r="Q7" s="60"/>
      <c r="R7" s="61"/>
    </row>
    <row r="8" spans="1:18" ht="18.75" customHeight="1" x14ac:dyDescent="0.2">
      <c r="A8" s="4"/>
      <c r="B8" s="39"/>
      <c r="C8" s="6">
        <f>IF(DAY(FebSun1)=1,FebSun1+22,FebSun1+29)</f>
        <v>41330</v>
      </c>
      <c r="D8" s="6">
        <f>IF(DAY(FebSun1)=1,FebSun1+23,FebSun1+30)</f>
        <v>41331</v>
      </c>
      <c r="E8" s="6">
        <f>IF(DAY(FebSun1)=1,FebSun1+24,FebSun1+31)</f>
        <v>41332</v>
      </c>
      <c r="F8" s="6">
        <f>IF(DAY(FebSun1)=1,FebSun1+25,FebSun1+32)</f>
        <v>41333</v>
      </c>
      <c r="G8" s="6">
        <f>IF(DAY(FebSun1)=1,FebSun1+26,FebSun1+33)</f>
        <v>41334</v>
      </c>
      <c r="H8" s="6">
        <f>IF(DAY(FebSun1)=1,FebSun1+27,FebSun1+34)</f>
        <v>41335</v>
      </c>
      <c r="I8" s="6">
        <f>IF(DAY(FebSun1)=1,FebSun1+28,FebSun1+35)</f>
        <v>41336</v>
      </c>
      <c r="J8" s="6"/>
      <c r="K8" s="6"/>
      <c r="L8" s="6"/>
      <c r="M8" s="6"/>
      <c r="N8" s="24"/>
      <c r="O8" s="26"/>
      <c r="P8" s="8"/>
      <c r="Q8" s="60"/>
      <c r="R8" s="61"/>
    </row>
    <row r="9" spans="1:18" ht="18" customHeight="1" x14ac:dyDescent="0.2">
      <c r="A9" s="4"/>
      <c r="B9" s="39"/>
      <c r="C9" s="6">
        <f>IF(DAY(FebSun1)=1,FebSun1+29,FebSun1+36)</f>
        <v>41337</v>
      </c>
      <c r="D9" s="6">
        <f>IF(DAY(FebSun1)=1,FebSun1+30,FebSun1+37)</f>
        <v>41338</v>
      </c>
      <c r="E9" s="6">
        <f>IF(DAY(FebSun1)=1,FebSun1+31,FebSun1+38)</f>
        <v>41339</v>
      </c>
      <c r="F9" s="6">
        <f>IF(DAY(FebSun1)=1,FebSun1+32,FebSun1+39)</f>
        <v>41340</v>
      </c>
      <c r="G9" s="6">
        <f>IF(DAY(FebSun1)=1,FebSun1+33,FebSun1+40)</f>
        <v>41341</v>
      </c>
      <c r="H9" s="6">
        <f>IF(DAY(FebSun1)=1,FebSun1+34,FebSun1+41)</f>
        <v>41342</v>
      </c>
      <c r="I9" s="6">
        <f>IF(DAY(FebSun1)=1,FebSun1+35,FebSun1+42)</f>
        <v>41343</v>
      </c>
      <c r="J9" s="6"/>
      <c r="K9" s="6"/>
      <c r="L9" s="6"/>
      <c r="M9" s="6"/>
      <c r="N9" s="24"/>
      <c r="O9" s="27"/>
      <c r="P9" s="9"/>
      <c r="Q9" s="62"/>
      <c r="R9" s="63"/>
    </row>
    <row r="10" spans="1:18" ht="18" customHeight="1" x14ac:dyDescent="0.2">
      <c r="A10" s="4"/>
      <c r="B10" s="4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5"/>
      <c r="O10" s="55"/>
      <c r="P10" s="7"/>
      <c r="Q10" s="64"/>
      <c r="R10" s="65"/>
    </row>
    <row r="11" spans="1:18" ht="18" customHeight="1" x14ac:dyDescent="0.2">
      <c r="A11" s="4"/>
      <c r="B11" s="41" t="s">
        <v>11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56"/>
      <c r="P11" s="8"/>
      <c r="Q11" s="60"/>
      <c r="R11" s="61"/>
    </row>
    <row r="12" spans="1:18" ht="18" customHeight="1" x14ac:dyDescent="0.2">
      <c r="A12" s="4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56"/>
      <c r="P12" s="8"/>
      <c r="Q12" s="60"/>
      <c r="R12" s="61"/>
    </row>
    <row r="13" spans="1:18" ht="18" customHeight="1" x14ac:dyDescent="0.2">
      <c r="B13" s="3" t="s">
        <v>5</v>
      </c>
      <c r="C13" s="49" t="s">
        <v>6</v>
      </c>
      <c r="D13" s="50"/>
      <c r="E13" s="49" t="s">
        <v>7</v>
      </c>
      <c r="F13" s="50"/>
      <c r="G13" s="49" t="s">
        <v>8</v>
      </c>
      <c r="H13" s="50"/>
      <c r="I13" s="49" t="s">
        <v>9</v>
      </c>
      <c r="J13" s="50"/>
      <c r="K13" s="49" t="s">
        <v>23</v>
      </c>
      <c r="L13" s="50"/>
      <c r="M13" s="49" t="s">
        <v>24</v>
      </c>
      <c r="N13" s="75"/>
      <c r="O13" s="26"/>
      <c r="P13" s="8"/>
      <c r="Q13" s="60"/>
      <c r="R13" s="61"/>
    </row>
    <row r="14" spans="1:18" ht="21.95" customHeight="1" x14ac:dyDescent="0.2">
      <c r="A14" s="44"/>
      <c r="B14" s="45"/>
      <c r="C14" s="44"/>
      <c r="D14" s="45"/>
      <c r="E14" s="44"/>
      <c r="F14" s="45"/>
      <c r="G14" s="44"/>
      <c r="H14" s="45"/>
      <c r="I14" s="44"/>
      <c r="J14" s="45"/>
      <c r="K14" s="44"/>
      <c r="L14" s="45"/>
      <c r="M14" s="44"/>
      <c r="N14" s="48"/>
      <c r="O14" s="26"/>
      <c r="P14" s="8"/>
      <c r="Q14" s="60"/>
      <c r="R14" s="61"/>
    </row>
    <row r="15" spans="1:18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28"/>
      <c r="P15" s="10"/>
      <c r="Q15" s="62"/>
      <c r="R15" s="63"/>
    </row>
    <row r="16" spans="1:18" ht="21.95" customHeight="1" x14ac:dyDescent="0.2">
      <c r="A16" s="44"/>
      <c r="B16" s="45"/>
      <c r="C16" s="44"/>
      <c r="D16" s="45"/>
      <c r="E16" s="44"/>
      <c r="F16" s="45"/>
      <c r="G16" s="44"/>
      <c r="H16" s="45"/>
      <c r="I16" s="44"/>
      <c r="J16" s="45"/>
      <c r="K16" s="44"/>
      <c r="L16" s="45"/>
      <c r="M16" s="44"/>
      <c r="N16" s="48"/>
      <c r="O16" s="68"/>
      <c r="P16" s="7"/>
      <c r="Q16" s="64"/>
      <c r="R16" s="65"/>
    </row>
    <row r="17" spans="1:45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69"/>
      <c r="P17" s="8"/>
      <c r="Q17" s="60"/>
      <c r="R17" s="61"/>
    </row>
    <row r="18" spans="1:45" ht="21.95" customHeight="1" x14ac:dyDescent="0.2">
      <c r="A18" s="44"/>
      <c r="B18" s="45"/>
      <c r="C18" s="44"/>
      <c r="D18" s="45"/>
      <c r="E18" s="44"/>
      <c r="F18" s="45"/>
      <c r="G18" s="44"/>
      <c r="H18" s="45"/>
      <c r="I18" s="44"/>
      <c r="J18" s="45"/>
      <c r="K18" s="44"/>
      <c r="L18" s="45"/>
      <c r="M18" s="44"/>
      <c r="N18" s="48"/>
      <c r="O18" s="69"/>
      <c r="P18" s="8"/>
      <c r="Q18" s="60"/>
      <c r="R18" s="61"/>
    </row>
    <row r="19" spans="1:45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26"/>
      <c r="P19" s="8"/>
      <c r="Q19" s="60"/>
      <c r="R19" s="61"/>
    </row>
    <row r="20" spans="1:45" ht="21.95" customHeight="1" x14ac:dyDescent="0.2">
      <c r="A20" s="44"/>
      <c r="B20" s="45"/>
      <c r="C20" s="44"/>
      <c r="D20" s="45"/>
      <c r="E20" s="44"/>
      <c r="F20" s="45"/>
      <c r="G20" s="44"/>
      <c r="H20" s="45"/>
      <c r="I20" s="44"/>
      <c r="J20" s="45"/>
      <c r="K20" s="44"/>
      <c r="L20" s="45"/>
      <c r="M20" s="44"/>
      <c r="N20" s="48"/>
      <c r="O20" s="26"/>
      <c r="P20" s="8"/>
      <c r="Q20" s="60"/>
      <c r="R20" s="61"/>
    </row>
    <row r="21" spans="1:45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28"/>
      <c r="P21" s="10"/>
      <c r="Q21" s="62"/>
      <c r="R21" s="63"/>
    </row>
    <row r="22" spans="1:45" ht="21.95" customHeight="1" x14ac:dyDescent="0.2">
      <c r="A22" s="44"/>
      <c r="B22" s="45"/>
      <c r="C22" s="44"/>
      <c r="D22" s="45"/>
      <c r="E22" s="44"/>
      <c r="F22" s="45"/>
      <c r="G22" s="44"/>
      <c r="H22" s="45"/>
      <c r="I22" s="44"/>
      <c r="J22" s="45"/>
      <c r="K22" s="44"/>
      <c r="L22" s="45"/>
      <c r="M22" s="44"/>
      <c r="N22" s="45"/>
      <c r="O22"/>
      <c r="Q22"/>
      <c r="R22"/>
      <c r="AP22" s="1"/>
      <c r="AQ22" s="1"/>
      <c r="AR22" s="1"/>
      <c r="AS22" s="1"/>
    </row>
    <row r="23" spans="1:45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47"/>
      <c r="O23"/>
      <c r="Q23"/>
      <c r="R23"/>
      <c r="AP23" s="1"/>
      <c r="AQ23" s="1"/>
      <c r="AR23" s="1"/>
      <c r="AS23" s="1"/>
    </row>
  </sheetData>
  <mergeCells count="101"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155" priority="14" stopIfTrue="1">
      <formula>DAY(C4)&gt;8</formula>
    </cfRule>
  </conditionalFormatting>
  <conditionalFormatting sqref="C8:M10">
    <cfRule type="expression" dxfId="154" priority="13" stopIfTrue="1">
      <formula>AND(DAY(C8)&gt;=1,DAY(C8)&lt;=15)</formula>
    </cfRule>
  </conditionalFormatting>
  <conditionalFormatting sqref="C4:M9">
    <cfRule type="expression" dxfId="153" priority="15">
      <formula>VLOOKUP(DAY(C4),AssignmentDays,1,FALSE)=DAY(C4)</formula>
    </cfRule>
  </conditionalFormatting>
  <conditionalFormatting sqref="A14:N14 A16:N16 A18:N18 A20:N20 A22:N22">
    <cfRule type="expression" dxfId="152" priority="11">
      <formula>A14&lt;&gt;""</formula>
    </cfRule>
  </conditionalFormatting>
  <conditionalFormatting sqref="A15:N15">
    <cfRule type="expression" dxfId="151" priority="10">
      <formula>A15&lt;&gt;""</formula>
    </cfRule>
  </conditionalFormatting>
  <conditionalFormatting sqref="A15:N15">
    <cfRule type="containsText" dxfId="150" priority="9" operator="containsText" text="Flight">
      <formula>NOT(ISERROR(SEARCH("Flight",A15)))</formula>
    </cfRule>
  </conditionalFormatting>
  <conditionalFormatting sqref="A17:N17">
    <cfRule type="expression" dxfId="149" priority="8">
      <formula>A17&lt;&gt;""</formula>
    </cfRule>
  </conditionalFormatting>
  <conditionalFormatting sqref="A17:N17">
    <cfRule type="containsText" dxfId="148" priority="7" operator="containsText" text="Flight">
      <formula>NOT(ISERROR(SEARCH("Flight",A17)))</formula>
    </cfRule>
  </conditionalFormatting>
  <conditionalFormatting sqref="A19:N19">
    <cfRule type="expression" dxfId="147" priority="6">
      <formula>A19&lt;&gt;""</formula>
    </cfRule>
  </conditionalFormatting>
  <conditionalFormatting sqref="A19:N19">
    <cfRule type="containsText" dxfId="146" priority="5" operator="containsText" text="Flight">
      <formula>NOT(ISERROR(SEARCH("Flight",A19)))</formula>
    </cfRule>
  </conditionalFormatting>
  <conditionalFormatting sqref="A21:N21">
    <cfRule type="expression" dxfId="145" priority="4">
      <formula>A21&lt;&gt;""</formula>
    </cfRule>
  </conditionalFormatting>
  <conditionalFormatting sqref="A21:N21">
    <cfRule type="containsText" dxfId="144" priority="3" operator="containsText" text="Flight">
      <formula>NOT(ISERROR(SEARCH("Flight",A21)))</formula>
    </cfRule>
  </conditionalFormatting>
  <conditionalFormatting sqref="A23:N23">
    <cfRule type="expression" dxfId="143" priority="2">
      <formula>A23&lt;&gt;""</formula>
    </cfRule>
  </conditionalFormatting>
  <conditionalFormatting sqref="A23:N23">
    <cfRule type="containsText" dxfId="142" priority="1" operator="containsText" text="Flight">
      <formula>NOT(ISERROR(SEARCH("Flight",A23)))</formula>
    </cfRule>
  </conditionalFormatting>
  <dataValidations count="3">
    <dataValidation type="list" allowBlank="1" showInputMessage="1" showErrorMessage="1" sqref="A17:N17 A19:N19 A21:N21 A23:N23 A15:N15">
      <formula1>Flight.1</formula1>
    </dataValidation>
    <dataValidation type="list" allowBlank="1" showInputMessage="1" showErrorMessage="1" sqref="A16:N16 A18:N18 A20:N20 A22:N22 A14:N14">
      <formula1>Ground.1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tabSelected="1" zoomScaleNormal="100" zoomScalePageLayoutView="84" workbookViewId="0">
      <selection activeCell="A14" sqref="A14:B14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18" ht="11.25" customHeight="1" x14ac:dyDescent="0.2"/>
    <row r="2" spans="1:18" ht="18" customHeight="1" x14ac:dyDescent="0.2">
      <c r="A2" s="4"/>
      <c r="B2" s="38" t="s">
        <v>13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82"/>
      <c r="P2" s="83"/>
      <c r="Q2" s="83"/>
      <c r="R2" s="66">
        <v>2015</v>
      </c>
    </row>
    <row r="3" spans="1:18" ht="21" customHeight="1" x14ac:dyDescent="0.2">
      <c r="A3" s="4"/>
      <c r="B3" s="3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24"/>
      <c r="O3" s="84"/>
      <c r="P3" s="85"/>
      <c r="Q3" s="85"/>
      <c r="R3" s="67"/>
    </row>
    <row r="4" spans="1:18" ht="18" customHeight="1" x14ac:dyDescent="0.2">
      <c r="A4" s="4"/>
      <c r="B4" s="39"/>
      <c r="C4" s="6">
        <f>IF(DAY(MarSun1)=1,MarSun1-6,MarSun1+1)</f>
        <v>42058</v>
      </c>
      <c r="D4" s="6">
        <f>IF(DAY(MarSun1)=1,MarSun1-5,MarSun1+2)</f>
        <v>42059</v>
      </c>
      <c r="E4" s="6">
        <f>IF(DAY(MarSun1)=1,MarSun1-4,MarSun1+3)</f>
        <v>42060</v>
      </c>
      <c r="F4" s="6">
        <f>IF(DAY(MarSun1)=1,MarSun1-3,MarSun1+4)</f>
        <v>42061</v>
      </c>
      <c r="G4" s="6">
        <f>IF(DAY(MarSun1)=1,MarSun1-2,MarSun1+5)</f>
        <v>42062</v>
      </c>
      <c r="H4" s="6">
        <f>IF(DAY(MarSun1)=1,MarSun1-1,MarSun1+6)</f>
        <v>42063</v>
      </c>
      <c r="I4" s="6">
        <f>IF(DAY(MarSun1)=1,MarSun1,MarSun1+7)</f>
        <v>42064</v>
      </c>
      <c r="J4" s="6"/>
      <c r="K4" s="6"/>
      <c r="L4" s="6"/>
      <c r="M4" s="6"/>
      <c r="N4" s="24"/>
      <c r="O4" s="57"/>
      <c r="P4" s="7"/>
      <c r="Q4" s="58"/>
      <c r="R4" s="59"/>
    </row>
    <row r="5" spans="1:18" ht="18" customHeight="1" x14ac:dyDescent="0.2">
      <c r="A5" s="4"/>
      <c r="B5" s="39"/>
      <c r="C5" s="6">
        <f>IF(DAY(MarSun1)=1,MarSun1+1,MarSun1+8)</f>
        <v>42065</v>
      </c>
      <c r="D5" s="6">
        <f>IF(DAY(MarSun1)=1,MarSun1+2,MarSun1+9)</f>
        <v>42066</v>
      </c>
      <c r="E5" s="6">
        <f>IF(DAY(MarSun1)=1,MarSun1+3,MarSun1+10)</f>
        <v>42067</v>
      </c>
      <c r="F5" s="6">
        <f>IF(DAY(MarSun1)=1,MarSun1+4,MarSun1+11)</f>
        <v>42068</v>
      </c>
      <c r="G5" s="6">
        <f>IF(DAY(MarSun1)=1,MarSun1+5,MarSun1+12)</f>
        <v>42069</v>
      </c>
      <c r="H5" s="6">
        <f>IF(DAY(MarSun1)=1,MarSun1+6,MarSun1+13)</f>
        <v>42070</v>
      </c>
      <c r="I5" s="6">
        <f>IF(DAY(MarSun1)=1,MarSun1+7,MarSun1+14)</f>
        <v>42071</v>
      </c>
      <c r="J5" s="6"/>
      <c r="K5" s="6"/>
      <c r="L5" s="6"/>
      <c r="M5" s="6"/>
      <c r="N5" s="24"/>
      <c r="O5" s="56"/>
      <c r="P5" s="8"/>
      <c r="Q5" s="60"/>
      <c r="R5" s="61"/>
    </row>
    <row r="6" spans="1:18" ht="18" customHeight="1" x14ac:dyDescent="0.2">
      <c r="A6" s="4"/>
      <c r="B6" s="39"/>
      <c r="C6" s="6">
        <f>IF(DAY(MarSun1)=1,MarSun1+8,MarSun1+15)</f>
        <v>42072</v>
      </c>
      <c r="D6" s="6">
        <f>IF(DAY(MarSun1)=1,MarSun1+9,MarSun1+16)</f>
        <v>42073</v>
      </c>
      <c r="E6" s="6">
        <f>IF(DAY(MarSun1)=1,MarSun1+10,MarSun1+17)</f>
        <v>42074</v>
      </c>
      <c r="F6" s="6">
        <f>IF(DAY(MarSun1)=1,MarSun1+11,MarSun1+18)</f>
        <v>42075</v>
      </c>
      <c r="G6" s="6">
        <f>IF(DAY(MarSun1)=1,MarSun1+12,MarSun1+19)</f>
        <v>42076</v>
      </c>
      <c r="H6" s="6">
        <f>IF(DAY(MarSun1)=1,MarSun1+13,MarSun1+20)</f>
        <v>42077</v>
      </c>
      <c r="I6" s="6">
        <f>IF(DAY(MarSun1)=1,MarSun1+14,MarSun1+21)</f>
        <v>42078</v>
      </c>
      <c r="J6" s="6"/>
      <c r="K6" s="6"/>
      <c r="L6" s="6"/>
      <c r="M6" s="6"/>
      <c r="N6" s="24"/>
      <c r="O6" s="56"/>
      <c r="P6" s="8"/>
      <c r="Q6" s="60"/>
      <c r="R6" s="61"/>
    </row>
    <row r="7" spans="1:18" ht="18" customHeight="1" x14ac:dyDescent="0.2">
      <c r="A7" s="4"/>
      <c r="B7" s="39"/>
      <c r="C7" s="6">
        <f>IF(DAY(MarSun1)=1,MarSun1+15,MarSun1+22)</f>
        <v>42079</v>
      </c>
      <c r="D7" s="6">
        <f>IF(DAY(MarSun1)=1,MarSun1+16,MarSun1+23)</f>
        <v>42080</v>
      </c>
      <c r="E7" s="6">
        <f>IF(DAY(MarSun1)=1,MarSun1+17,MarSun1+24)</f>
        <v>42081</v>
      </c>
      <c r="F7" s="6">
        <f>IF(DAY(MarSun1)=1,MarSun1+18,MarSun1+25)</f>
        <v>42082</v>
      </c>
      <c r="G7" s="6">
        <f>IF(DAY(MarSun1)=1,MarSun1+19,MarSun1+26)</f>
        <v>42083</v>
      </c>
      <c r="H7" s="6">
        <f>IF(DAY(MarSun1)=1,MarSun1+20,MarSun1+27)</f>
        <v>42084</v>
      </c>
      <c r="I7" s="6">
        <f>IF(DAY(MarSun1)=1,MarSun1+21,MarSun1+28)</f>
        <v>42085</v>
      </c>
      <c r="J7" s="6"/>
      <c r="K7" s="6"/>
      <c r="L7" s="6"/>
      <c r="M7" s="6"/>
      <c r="N7" s="24"/>
      <c r="O7" s="26"/>
      <c r="P7" s="8"/>
      <c r="Q7" s="60"/>
      <c r="R7" s="61"/>
    </row>
    <row r="8" spans="1:18" ht="18.75" customHeight="1" x14ac:dyDescent="0.2">
      <c r="A8" s="4"/>
      <c r="B8" s="39"/>
      <c r="C8" s="6">
        <f>IF(DAY(MarSun1)=1,MarSun1+22,MarSun1+29)</f>
        <v>42086</v>
      </c>
      <c r="D8" s="6">
        <f>IF(DAY(MarSun1)=1,MarSun1+23,MarSun1+30)</f>
        <v>42087</v>
      </c>
      <c r="E8" s="6">
        <f>IF(DAY(MarSun1)=1,MarSun1+24,MarSun1+31)</f>
        <v>42088</v>
      </c>
      <c r="F8" s="6">
        <f>IF(DAY(MarSun1)=1,MarSun1+25,MarSun1+32)</f>
        <v>42089</v>
      </c>
      <c r="G8" s="6">
        <f>IF(DAY(MarSun1)=1,MarSun1+26,MarSun1+33)</f>
        <v>42090</v>
      </c>
      <c r="H8" s="6">
        <f>IF(DAY(MarSun1)=1,MarSun1+27,MarSun1+34)</f>
        <v>42091</v>
      </c>
      <c r="I8" s="6">
        <f>IF(DAY(MarSun1)=1,MarSun1+28,MarSun1+35)</f>
        <v>42092</v>
      </c>
      <c r="J8" s="6"/>
      <c r="K8" s="6"/>
      <c r="L8" s="6"/>
      <c r="M8" s="6"/>
      <c r="N8" s="24"/>
      <c r="O8" s="26"/>
      <c r="P8" s="8"/>
      <c r="Q8" s="60"/>
      <c r="R8" s="61"/>
    </row>
    <row r="9" spans="1:18" ht="18" customHeight="1" x14ac:dyDescent="0.2">
      <c r="A9" s="4"/>
      <c r="B9" s="39"/>
      <c r="C9" s="6">
        <f>IF(DAY(MarSun1)=1,MarSun1+29,MarSun1+36)</f>
        <v>42093</v>
      </c>
      <c r="D9" s="6">
        <f>IF(DAY(MarSun1)=1,MarSun1+30,MarSun1+37)</f>
        <v>42094</v>
      </c>
      <c r="E9" s="6">
        <f>IF(DAY(MarSun1)=1,MarSun1+31,MarSun1+38)</f>
        <v>42095</v>
      </c>
      <c r="F9" s="6">
        <f>IF(DAY(MarSun1)=1,MarSun1+32,MarSun1+39)</f>
        <v>42096</v>
      </c>
      <c r="G9" s="6">
        <f>IF(DAY(MarSun1)=1,MarSun1+33,MarSun1+40)</f>
        <v>42097</v>
      </c>
      <c r="H9" s="6">
        <f>IF(DAY(MarSun1)=1,MarSun1+34,MarSun1+41)</f>
        <v>42098</v>
      </c>
      <c r="I9" s="6">
        <f>IF(DAY(MarSun1)=1,MarSun1+35,MarSun1+42)</f>
        <v>42099</v>
      </c>
      <c r="J9" s="6"/>
      <c r="K9" s="6"/>
      <c r="L9" s="6"/>
      <c r="M9" s="6"/>
      <c r="N9" s="24"/>
      <c r="O9" s="27"/>
      <c r="P9" s="9"/>
      <c r="Q9" s="62"/>
      <c r="R9" s="63"/>
    </row>
    <row r="10" spans="1:18" ht="18" customHeight="1" x14ac:dyDescent="0.2">
      <c r="A10" s="4"/>
      <c r="B10" s="4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5"/>
      <c r="O10" s="55"/>
      <c r="P10" s="7"/>
      <c r="Q10" s="64"/>
      <c r="R10" s="65"/>
    </row>
    <row r="11" spans="1:18" ht="18" customHeight="1" x14ac:dyDescent="0.2">
      <c r="A11" s="4"/>
      <c r="B11" s="41" t="s">
        <v>11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56"/>
      <c r="P11" s="8"/>
      <c r="Q11" s="60"/>
      <c r="R11" s="61"/>
    </row>
    <row r="12" spans="1:18" ht="18" customHeight="1" x14ac:dyDescent="0.2">
      <c r="A12" s="4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56"/>
      <c r="P12" s="8"/>
      <c r="Q12" s="60"/>
      <c r="R12" s="61"/>
    </row>
    <row r="13" spans="1:18" ht="18" customHeight="1" x14ac:dyDescent="0.2">
      <c r="B13" s="3" t="s">
        <v>5</v>
      </c>
      <c r="C13" s="49" t="s">
        <v>6</v>
      </c>
      <c r="D13" s="50"/>
      <c r="E13" s="49" t="s">
        <v>7</v>
      </c>
      <c r="F13" s="50"/>
      <c r="G13" s="49" t="s">
        <v>8</v>
      </c>
      <c r="H13" s="50"/>
      <c r="I13" s="49" t="s">
        <v>9</v>
      </c>
      <c r="J13" s="50"/>
      <c r="K13" s="49" t="s">
        <v>23</v>
      </c>
      <c r="L13" s="50"/>
      <c r="M13" s="49" t="s">
        <v>24</v>
      </c>
      <c r="N13" s="75"/>
      <c r="O13" s="26"/>
      <c r="P13" s="8"/>
      <c r="Q13" s="60"/>
      <c r="R13" s="61"/>
    </row>
    <row r="14" spans="1:18" ht="21.95" customHeight="1" x14ac:dyDescent="0.2">
      <c r="A14" s="44"/>
      <c r="B14" s="45"/>
      <c r="C14" s="44"/>
      <c r="D14" s="45"/>
      <c r="E14" s="44"/>
      <c r="F14" s="45"/>
      <c r="G14" s="44"/>
      <c r="H14" s="45"/>
      <c r="I14" s="44"/>
      <c r="J14" s="45"/>
      <c r="K14" s="44"/>
      <c r="L14" s="45"/>
      <c r="M14" s="44"/>
      <c r="N14" s="48"/>
      <c r="O14" s="26"/>
      <c r="P14" s="8"/>
      <c r="Q14" s="60"/>
      <c r="R14" s="61"/>
    </row>
    <row r="15" spans="1:18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28"/>
      <c r="P15" s="10"/>
      <c r="Q15" s="62"/>
      <c r="R15" s="63"/>
    </row>
    <row r="16" spans="1:18" ht="21.95" customHeight="1" x14ac:dyDescent="0.2">
      <c r="A16" s="44"/>
      <c r="B16" s="45"/>
      <c r="C16" s="44"/>
      <c r="D16" s="45"/>
      <c r="E16" s="44"/>
      <c r="F16" s="45"/>
      <c r="G16" s="44"/>
      <c r="H16" s="45"/>
      <c r="I16" s="44"/>
      <c r="J16" s="45"/>
      <c r="K16" s="44"/>
      <c r="L16" s="45"/>
      <c r="M16" s="44"/>
      <c r="N16" s="48"/>
      <c r="O16" s="68"/>
      <c r="P16" s="7"/>
      <c r="Q16" s="64"/>
      <c r="R16" s="65"/>
    </row>
    <row r="17" spans="1:45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69"/>
      <c r="P17" s="8"/>
      <c r="Q17" s="60"/>
      <c r="R17" s="61"/>
    </row>
    <row r="18" spans="1:45" ht="21.95" customHeight="1" x14ac:dyDescent="0.2">
      <c r="A18" s="44"/>
      <c r="B18" s="45"/>
      <c r="C18" s="44"/>
      <c r="D18" s="45"/>
      <c r="E18" s="44"/>
      <c r="F18" s="45"/>
      <c r="G18" s="44"/>
      <c r="H18" s="45"/>
      <c r="I18" s="44"/>
      <c r="J18" s="45"/>
      <c r="K18" s="44"/>
      <c r="L18" s="45"/>
      <c r="M18" s="44"/>
      <c r="N18" s="48"/>
      <c r="O18" s="69"/>
      <c r="P18" s="8"/>
      <c r="Q18" s="60"/>
      <c r="R18" s="61"/>
    </row>
    <row r="19" spans="1:45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26"/>
      <c r="P19" s="8"/>
      <c r="Q19" s="60"/>
      <c r="R19" s="61"/>
    </row>
    <row r="20" spans="1:45" ht="21.95" customHeight="1" x14ac:dyDescent="0.2">
      <c r="A20" s="44"/>
      <c r="B20" s="45"/>
      <c r="C20" s="44"/>
      <c r="D20" s="45"/>
      <c r="E20" s="44"/>
      <c r="F20" s="45"/>
      <c r="G20" s="44"/>
      <c r="H20" s="45"/>
      <c r="I20" s="44"/>
      <c r="J20" s="45"/>
      <c r="K20" s="44"/>
      <c r="L20" s="45"/>
      <c r="M20" s="44"/>
      <c r="N20" s="48"/>
      <c r="O20" s="26"/>
      <c r="P20" s="8"/>
      <c r="Q20" s="60"/>
      <c r="R20" s="61"/>
    </row>
    <row r="21" spans="1:45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28"/>
      <c r="P21" s="10"/>
      <c r="Q21" s="62"/>
      <c r="R21" s="63"/>
    </row>
    <row r="22" spans="1:45" ht="21.95" customHeight="1" x14ac:dyDescent="0.2">
      <c r="A22" s="44"/>
      <c r="B22" s="45"/>
      <c r="C22" s="44"/>
      <c r="D22" s="45"/>
      <c r="E22" s="44"/>
      <c r="F22" s="45"/>
      <c r="G22" s="44"/>
      <c r="H22" s="45"/>
      <c r="I22" s="44"/>
      <c r="J22" s="45"/>
      <c r="K22" s="44"/>
      <c r="L22" s="45"/>
      <c r="M22" s="44"/>
      <c r="N22" s="45"/>
      <c r="O22"/>
      <c r="Q22"/>
      <c r="R22"/>
      <c r="AP22" s="1"/>
      <c r="AQ22" s="1"/>
      <c r="AR22" s="1"/>
      <c r="AS22" s="1"/>
    </row>
    <row r="23" spans="1:45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47"/>
      <c r="O23"/>
      <c r="Q23"/>
      <c r="R23"/>
      <c r="AP23" s="1"/>
      <c r="AQ23" s="1"/>
      <c r="AR23" s="1"/>
      <c r="AS23" s="1"/>
    </row>
  </sheetData>
  <mergeCells count="101"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141" priority="14" stopIfTrue="1">
      <formula>DAY(C4)&gt;8</formula>
    </cfRule>
  </conditionalFormatting>
  <conditionalFormatting sqref="C8:M10">
    <cfRule type="expression" dxfId="140" priority="13" stopIfTrue="1">
      <formula>AND(DAY(C8)&gt;=1,DAY(C8)&lt;=15)</formula>
    </cfRule>
  </conditionalFormatting>
  <conditionalFormatting sqref="C4:M9">
    <cfRule type="expression" dxfId="139" priority="15">
      <formula>VLOOKUP(DAY(C4),AssignmentDays,1,FALSE)=DAY(C4)</formula>
    </cfRule>
  </conditionalFormatting>
  <conditionalFormatting sqref="A14:N14 A16:N16 A18:N18 A20:N20 A22:N22">
    <cfRule type="expression" dxfId="138" priority="11">
      <formula>A14&lt;&gt;""</formula>
    </cfRule>
  </conditionalFormatting>
  <conditionalFormatting sqref="A15:N15">
    <cfRule type="expression" dxfId="137" priority="10">
      <formula>A15&lt;&gt;""</formula>
    </cfRule>
  </conditionalFormatting>
  <conditionalFormatting sqref="A15:N15">
    <cfRule type="containsText" dxfId="136" priority="9" operator="containsText" text="Flight">
      <formula>NOT(ISERROR(SEARCH("Flight",A15)))</formula>
    </cfRule>
  </conditionalFormatting>
  <conditionalFormatting sqref="A17:N17">
    <cfRule type="expression" dxfId="135" priority="8">
      <formula>A17&lt;&gt;""</formula>
    </cfRule>
  </conditionalFormatting>
  <conditionalFormatting sqref="A17:N17">
    <cfRule type="containsText" dxfId="134" priority="7" operator="containsText" text="Flight">
      <formula>NOT(ISERROR(SEARCH("Flight",A17)))</formula>
    </cfRule>
  </conditionalFormatting>
  <conditionalFormatting sqref="A19:N19">
    <cfRule type="expression" dxfId="133" priority="6">
      <formula>A19&lt;&gt;""</formula>
    </cfRule>
  </conditionalFormatting>
  <conditionalFormatting sqref="A19:N19">
    <cfRule type="containsText" dxfId="132" priority="5" operator="containsText" text="Flight">
      <formula>NOT(ISERROR(SEARCH("Flight",A19)))</formula>
    </cfRule>
  </conditionalFormatting>
  <conditionalFormatting sqref="A21:N21">
    <cfRule type="expression" dxfId="131" priority="4">
      <formula>A21&lt;&gt;""</formula>
    </cfRule>
  </conditionalFormatting>
  <conditionalFormatting sqref="A21:N21">
    <cfRule type="containsText" dxfId="130" priority="3" operator="containsText" text="Flight">
      <formula>NOT(ISERROR(SEARCH("Flight",A21)))</formula>
    </cfRule>
  </conditionalFormatting>
  <conditionalFormatting sqref="A23:N23">
    <cfRule type="expression" dxfId="129" priority="2">
      <formula>A23&lt;&gt;""</formula>
    </cfRule>
  </conditionalFormatting>
  <conditionalFormatting sqref="A23:N23">
    <cfRule type="containsText" dxfId="128" priority="1" operator="containsText" text="Flight">
      <formula>NOT(ISERROR(SEARCH("Flight",A23)))</formula>
    </cfRule>
  </conditionalFormatting>
  <dataValidations count="3">
    <dataValidation type="list" allowBlank="1" showInputMessage="1" showErrorMessage="1" sqref="A17:N17 A19:N19 A21:N21 A23:N23 A15:N15">
      <formula1>Flight.1</formula1>
    </dataValidation>
    <dataValidation type="list" allowBlank="1" showInputMessage="1" showErrorMessage="1" sqref="A16:N16 A18:N18 A20:N20 A22:N22 A14:N14">
      <formula1>Ground.1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O22" sqref="O22:O23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45" ht="11.25" customHeight="1" x14ac:dyDescent="0.2"/>
    <row r="2" spans="1:45" ht="18" customHeight="1" x14ac:dyDescent="0.2">
      <c r="A2" s="4"/>
      <c r="B2" s="38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90" t="s">
        <v>83</v>
      </c>
      <c r="P2" s="52">
        <v>2013</v>
      </c>
      <c r="Q2" s="52"/>
      <c r="R2" s="66">
        <v>2013</v>
      </c>
    </row>
    <row r="3" spans="1:45" ht="21" customHeight="1" x14ac:dyDescent="0.2">
      <c r="A3" s="4"/>
      <c r="B3" s="3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5"/>
      <c r="O3" s="91"/>
      <c r="P3" s="54"/>
      <c r="Q3" s="54"/>
      <c r="R3" s="67"/>
    </row>
    <row r="4" spans="1:45" ht="18" customHeight="1" x14ac:dyDescent="0.2">
      <c r="A4" s="4"/>
      <c r="B4" s="39"/>
      <c r="C4" s="6">
        <f>IF(DAY(AprSun1)=1,AprSun1-6,AprSun1+1)</f>
        <v>41365</v>
      </c>
      <c r="D4" s="6">
        <f>IF(DAY(AprSun1)=1,AprSun1-5,AprSun1+2)</f>
        <v>41366</v>
      </c>
      <c r="E4" s="6">
        <f>IF(DAY(AprSun1)=1,AprSun1-4,AprSun1+3)</f>
        <v>41367</v>
      </c>
      <c r="F4" s="6">
        <f>IF(DAY(AprSun1)=1,AprSun1-3,AprSun1+4)</f>
        <v>41368</v>
      </c>
      <c r="G4" s="6">
        <f>IF(DAY(AprSun1)=1,AprSun1-2,AprSun1+5)</f>
        <v>41369</v>
      </c>
      <c r="H4" s="6">
        <f>IF(DAY(AprSun1)=1,AprSun1-1,AprSun1+6)</f>
        <v>41370</v>
      </c>
      <c r="I4" s="6">
        <f>IF(DAY(AprSun1)=1,AprSun1,AprSun1+7)</f>
        <v>41371</v>
      </c>
      <c r="J4" s="6"/>
      <c r="K4" s="6"/>
      <c r="L4" s="6"/>
      <c r="M4" s="6"/>
      <c r="N4" s="24"/>
      <c r="O4" s="57"/>
      <c r="P4" s="30"/>
      <c r="Q4" s="58"/>
      <c r="R4" s="59"/>
    </row>
    <row r="5" spans="1:45" ht="18" customHeight="1" x14ac:dyDescent="0.2">
      <c r="A5" s="4"/>
      <c r="B5" s="39"/>
      <c r="C5" s="6">
        <f>IF(DAY(AprSun1)=1,AprSun1+1,AprSun1+8)</f>
        <v>41372</v>
      </c>
      <c r="D5" s="6">
        <f>IF(DAY(AprSun1)=1,AprSun1+2,AprSun1+9)</f>
        <v>41373</v>
      </c>
      <c r="E5" s="6">
        <f>IF(DAY(AprSun1)=1,AprSun1+3,AprSun1+10)</f>
        <v>41374</v>
      </c>
      <c r="F5" s="6">
        <f>IF(DAY(AprSun1)=1,AprSun1+4,AprSun1+11)</f>
        <v>41375</v>
      </c>
      <c r="G5" s="6">
        <f>IF(DAY(AprSun1)=1,AprSun1+5,AprSun1+12)</f>
        <v>41376</v>
      </c>
      <c r="H5" s="6">
        <f>IF(DAY(AprSun1)=1,AprSun1+6,AprSun1+13)</f>
        <v>41377</v>
      </c>
      <c r="I5" s="6">
        <f>IF(DAY(AprSun1)=1,AprSun1+7,AprSun1+14)</f>
        <v>41378</v>
      </c>
      <c r="J5" s="6"/>
      <c r="K5" s="6"/>
      <c r="L5" s="6"/>
      <c r="M5" s="6"/>
      <c r="N5" s="24"/>
      <c r="O5" s="56"/>
      <c r="P5" s="8"/>
      <c r="Q5" s="60"/>
      <c r="R5" s="61"/>
    </row>
    <row r="6" spans="1:45" ht="18" customHeight="1" x14ac:dyDescent="0.2">
      <c r="A6" s="4"/>
      <c r="B6" s="39"/>
      <c r="C6" s="6">
        <f>IF(DAY(AprSun1)=1,AprSun1+8,AprSun1+15)</f>
        <v>41379</v>
      </c>
      <c r="D6" s="6">
        <f>IF(DAY(AprSun1)=1,AprSun1+9,AprSun1+16)</f>
        <v>41380</v>
      </c>
      <c r="E6" s="6">
        <f>IF(DAY(AprSun1)=1,AprSun1+10,AprSun1+17)</f>
        <v>41381</v>
      </c>
      <c r="F6" s="6">
        <f>IF(DAY(AprSun1)=1,AprSun1+11,AprSun1+18)</f>
        <v>41382</v>
      </c>
      <c r="G6" s="6">
        <f>IF(DAY(AprSun1)=1,AprSun1+12,AprSun1+19)</f>
        <v>41383</v>
      </c>
      <c r="H6" s="6">
        <f>IF(DAY(AprSun1)=1,AprSun1+13,AprSun1+20)</f>
        <v>41384</v>
      </c>
      <c r="I6" s="6">
        <f>IF(DAY(AprSun1)=1,AprSun1+14,AprSun1+21)</f>
        <v>41385</v>
      </c>
      <c r="J6" s="6"/>
      <c r="K6" s="6"/>
      <c r="L6" s="6"/>
      <c r="M6" s="6"/>
      <c r="N6" s="24"/>
      <c r="O6" s="56"/>
      <c r="P6" s="8"/>
      <c r="Q6" s="60"/>
      <c r="R6" s="61"/>
    </row>
    <row r="7" spans="1:45" ht="18" customHeight="1" x14ac:dyDescent="0.2">
      <c r="A7" s="4"/>
      <c r="B7" s="39"/>
      <c r="C7" s="6">
        <f>IF(DAY(AprSun1)=1,AprSun1+15,AprSun1+22)</f>
        <v>41386</v>
      </c>
      <c r="D7" s="6">
        <f>IF(DAY(AprSun1)=1,AprSun1+16,AprSun1+23)</f>
        <v>41387</v>
      </c>
      <c r="E7" s="6">
        <f>IF(DAY(AprSun1)=1,AprSun1+17,AprSun1+24)</f>
        <v>41388</v>
      </c>
      <c r="F7" s="6">
        <f>IF(DAY(AprSun1)=1,AprSun1+18,AprSun1+25)</f>
        <v>41389</v>
      </c>
      <c r="G7" s="6">
        <f>IF(DAY(AprSun1)=1,AprSun1+19,AprSun1+26)</f>
        <v>41390</v>
      </c>
      <c r="H7" s="6">
        <f>IF(DAY(AprSun1)=1,AprSun1+20,AprSun1+27)</f>
        <v>41391</v>
      </c>
      <c r="I7" s="6">
        <f>IF(DAY(AprSun1)=1,AprSun1+21,AprSun1+28)</f>
        <v>41392</v>
      </c>
      <c r="J7" s="6"/>
      <c r="K7" s="6"/>
      <c r="L7" s="6"/>
      <c r="M7" s="6"/>
      <c r="N7" s="24"/>
      <c r="O7" s="26"/>
      <c r="P7" s="8"/>
      <c r="Q7" s="60"/>
      <c r="R7" s="61"/>
    </row>
    <row r="8" spans="1:45" ht="18.75" customHeight="1" x14ac:dyDescent="0.2">
      <c r="A8" s="4"/>
      <c r="B8" s="39"/>
      <c r="C8" s="6">
        <f>IF(DAY(AprSun1)=1,AprSun1+22,AprSun1+29)</f>
        <v>41393</v>
      </c>
      <c r="D8" s="6">
        <f>IF(DAY(AprSun1)=1,AprSun1+23,AprSun1+30)</f>
        <v>41394</v>
      </c>
      <c r="E8" s="6">
        <f>IF(DAY(AprSun1)=1,AprSun1+24,AprSun1+31)</f>
        <v>41395</v>
      </c>
      <c r="F8" s="6">
        <f>IF(DAY(AprSun1)=1,AprSun1+25,AprSun1+32)</f>
        <v>41396</v>
      </c>
      <c r="G8" s="6">
        <f>IF(DAY(AprSun1)=1,AprSun1+26,AprSun1+33)</f>
        <v>41397</v>
      </c>
      <c r="H8" s="6">
        <f>IF(DAY(AprSun1)=1,AprSun1+27,AprSun1+34)</f>
        <v>41398</v>
      </c>
      <c r="I8" s="6">
        <f>IF(DAY(AprSun1)=1,AprSun1+28,AprSun1+35)</f>
        <v>41399</v>
      </c>
      <c r="J8" s="6"/>
      <c r="K8" s="6"/>
      <c r="L8" s="6"/>
      <c r="M8" s="6"/>
      <c r="N8" s="24"/>
      <c r="O8" s="26"/>
      <c r="P8" s="8"/>
      <c r="Q8" s="60"/>
      <c r="R8" s="61"/>
    </row>
    <row r="9" spans="1:45" ht="18" customHeight="1" x14ac:dyDescent="0.2">
      <c r="A9" s="4"/>
      <c r="B9" s="39"/>
      <c r="C9" s="6">
        <f>IF(DAY(AprSun1)=1,AprSun1+29,AprSun1+36)</f>
        <v>41400</v>
      </c>
      <c r="D9" s="6">
        <f>IF(DAY(AprSun1)=1,AprSun1+30,AprSun1+37)</f>
        <v>41401</v>
      </c>
      <c r="E9" s="6">
        <f>IF(DAY(AprSun1)=1,AprSun1+31,AprSun1+38)</f>
        <v>41402</v>
      </c>
      <c r="F9" s="6">
        <f>IF(DAY(AprSun1)=1,AprSun1+32,AprSun1+39)</f>
        <v>41403</v>
      </c>
      <c r="G9" s="6">
        <f>IF(DAY(AprSun1)=1,AprSun1+33,AprSun1+40)</f>
        <v>41404</v>
      </c>
      <c r="H9" s="6">
        <f>IF(DAY(AprSun1)=1,AprSun1+34,AprSun1+41)</f>
        <v>41405</v>
      </c>
      <c r="I9" s="6">
        <f>IF(DAY(AprSun1)=1,AprSun1+35,AprSun1+42)</f>
        <v>41406</v>
      </c>
      <c r="J9" s="6"/>
      <c r="K9" s="6"/>
      <c r="L9" s="6"/>
      <c r="M9" s="6"/>
      <c r="N9" s="24"/>
      <c r="O9" s="27"/>
      <c r="P9" s="9"/>
      <c r="Q9" s="62"/>
      <c r="R9" s="63"/>
    </row>
    <row r="10" spans="1:45" ht="18" customHeight="1" x14ac:dyDescent="0.2">
      <c r="A10" s="4"/>
      <c r="B10" s="4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5"/>
      <c r="O10" s="55"/>
      <c r="P10" s="7"/>
      <c r="Q10" s="64"/>
      <c r="R10" s="65"/>
    </row>
    <row r="11" spans="1:45" ht="18" customHeight="1" x14ac:dyDescent="0.2">
      <c r="A11" s="4"/>
      <c r="B11" s="41" t="s">
        <v>11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56"/>
      <c r="P11" s="8"/>
      <c r="Q11" s="60"/>
      <c r="R11" s="61"/>
    </row>
    <row r="12" spans="1:45" ht="18" customHeight="1" x14ac:dyDescent="0.2">
      <c r="A12" s="4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56"/>
      <c r="P12" s="8"/>
      <c r="Q12" s="60"/>
      <c r="R12" s="61"/>
    </row>
    <row r="13" spans="1:45" ht="18" customHeight="1" x14ac:dyDescent="0.2">
      <c r="B13" s="3" t="s">
        <v>5</v>
      </c>
      <c r="C13" s="49" t="s">
        <v>6</v>
      </c>
      <c r="D13" s="50"/>
      <c r="E13" s="49" t="s">
        <v>7</v>
      </c>
      <c r="F13" s="50"/>
      <c r="G13" s="49" t="s">
        <v>8</v>
      </c>
      <c r="H13" s="50"/>
      <c r="I13" s="49" t="s">
        <v>9</v>
      </c>
      <c r="J13" s="50"/>
      <c r="K13" s="49" t="s">
        <v>23</v>
      </c>
      <c r="L13" s="50"/>
      <c r="M13" s="49" t="s">
        <v>24</v>
      </c>
      <c r="N13" s="75"/>
      <c r="O13" s="26"/>
      <c r="P13" s="8"/>
      <c r="Q13" s="60"/>
      <c r="R13" s="61"/>
    </row>
    <row r="14" spans="1:45" s="34" customFormat="1" ht="21.95" customHeight="1" x14ac:dyDescent="0.2">
      <c r="A14" s="92"/>
      <c r="B14" s="94"/>
      <c r="C14" s="92"/>
      <c r="D14" s="94"/>
      <c r="E14" s="92"/>
      <c r="F14" s="94"/>
      <c r="G14" s="92"/>
      <c r="H14" s="94"/>
      <c r="I14" s="92"/>
      <c r="J14" s="94"/>
      <c r="K14" s="92"/>
      <c r="L14" s="94"/>
      <c r="M14" s="92"/>
      <c r="N14" s="93"/>
      <c r="O14" s="31"/>
      <c r="P14" s="32"/>
      <c r="Q14" s="86"/>
      <c r="R14" s="87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</row>
    <row r="15" spans="1:45" s="34" customFormat="1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35"/>
      <c r="P15" s="36"/>
      <c r="Q15" s="88"/>
      <c r="R15" s="89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</row>
    <row r="16" spans="1:45" s="34" customFormat="1" ht="21.95" customHeight="1" x14ac:dyDescent="0.2">
      <c r="A16" s="92"/>
      <c r="B16" s="94"/>
      <c r="C16" s="92"/>
      <c r="D16" s="94"/>
      <c r="E16" s="92"/>
      <c r="F16" s="94"/>
      <c r="G16" s="92"/>
      <c r="H16" s="94"/>
      <c r="I16" s="92"/>
      <c r="J16" s="94"/>
      <c r="K16" s="92"/>
      <c r="L16" s="94"/>
      <c r="M16" s="92"/>
      <c r="N16" s="93"/>
      <c r="O16" s="97"/>
      <c r="P16" s="37"/>
      <c r="Q16" s="95"/>
      <c r="R16" s="9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</row>
    <row r="17" spans="1:45" s="34" customFormat="1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98"/>
      <c r="P17" s="32"/>
      <c r="Q17" s="86"/>
      <c r="R17" s="87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</row>
    <row r="18" spans="1:45" s="34" customFormat="1" ht="21.95" customHeight="1" x14ac:dyDescent="0.2">
      <c r="A18" s="92"/>
      <c r="B18" s="94"/>
      <c r="C18" s="92"/>
      <c r="D18" s="94"/>
      <c r="E18" s="92"/>
      <c r="F18" s="94"/>
      <c r="G18" s="92"/>
      <c r="H18" s="94"/>
      <c r="I18" s="92"/>
      <c r="J18" s="94"/>
      <c r="K18" s="92"/>
      <c r="L18" s="94"/>
      <c r="M18" s="92"/>
      <c r="N18" s="93"/>
      <c r="O18" s="98"/>
      <c r="P18" s="32"/>
      <c r="Q18" s="86"/>
      <c r="R18" s="87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</row>
    <row r="19" spans="1:45" s="34" customFormat="1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31"/>
      <c r="P19" s="32"/>
      <c r="Q19" s="86"/>
      <c r="R19" s="87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</row>
    <row r="20" spans="1:45" s="34" customFormat="1" ht="21.95" customHeight="1" x14ac:dyDescent="0.2">
      <c r="A20" s="92"/>
      <c r="B20" s="94"/>
      <c r="C20" s="92"/>
      <c r="D20" s="94"/>
      <c r="E20" s="92"/>
      <c r="F20" s="94"/>
      <c r="G20" s="92"/>
      <c r="H20" s="94"/>
      <c r="I20" s="92"/>
      <c r="J20" s="94"/>
      <c r="K20" s="92"/>
      <c r="L20" s="94"/>
      <c r="M20" s="92"/>
      <c r="N20" s="93"/>
      <c r="O20" s="31"/>
      <c r="P20" s="32"/>
      <c r="Q20" s="86"/>
      <c r="R20" s="87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5" s="34" customFormat="1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35"/>
      <c r="P21" s="36"/>
      <c r="Q21" s="88"/>
      <c r="R21" s="89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</row>
    <row r="22" spans="1:45" s="34" customFormat="1" ht="21.95" customHeight="1" x14ac:dyDescent="0.2">
      <c r="A22" s="92"/>
      <c r="B22" s="94"/>
      <c r="C22" s="92"/>
      <c r="D22" s="94"/>
      <c r="E22" s="92"/>
      <c r="F22" s="94"/>
      <c r="G22" s="92"/>
      <c r="H22" s="94"/>
      <c r="I22" s="92"/>
      <c r="J22" s="94"/>
      <c r="K22" s="92"/>
      <c r="L22" s="94"/>
      <c r="M22" s="92"/>
      <c r="N22" s="93"/>
      <c r="O22" s="99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</row>
    <row r="23" spans="1:45" s="34" customFormat="1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101"/>
      <c r="O23" s="100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</row>
  </sheetData>
  <mergeCells count="102">
    <mergeCell ref="M22:N22"/>
    <mergeCell ref="O22:O23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127" priority="16" stopIfTrue="1">
      <formula>DAY(C4)&gt;8</formula>
    </cfRule>
  </conditionalFormatting>
  <conditionalFormatting sqref="C8:M10">
    <cfRule type="expression" dxfId="126" priority="15" stopIfTrue="1">
      <formula>AND(DAY(C8)&gt;=1,DAY(C8)&lt;=15)</formula>
    </cfRule>
  </conditionalFormatting>
  <conditionalFormatting sqref="C4:M9">
    <cfRule type="expression" dxfId="125" priority="17">
      <formula>VLOOKUP(DAY(C4),AssignmentDays,1,FALSE)=DAY(C4)</formula>
    </cfRule>
  </conditionalFormatting>
  <conditionalFormatting sqref="A14:N14 A16:N16 A18:N18 A20:N20 A22:N22">
    <cfRule type="expression" dxfId="124" priority="13">
      <formula>A14&lt;&gt;""</formula>
    </cfRule>
  </conditionalFormatting>
  <conditionalFormatting sqref="A15:N15">
    <cfRule type="expression" dxfId="123" priority="10">
      <formula>A15&lt;&gt;""</formula>
    </cfRule>
  </conditionalFormatting>
  <conditionalFormatting sqref="A15:N15">
    <cfRule type="containsText" dxfId="122" priority="9" operator="containsText" text="Flight">
      <formula>NOT(ISERROR(SEARCH("Flight",A15)))</formula>
    </cfRule>
  </conditionalFormatting>
  <conditionalFormatting sqref="A17:N17">
    <cfRule type="expression" dxfId="121" priority="8">
      <formula>A17&lt;&gt;""</formula>
    </cfRule>
  </conditionalFormatting>
  <conditionalFormatting sqref="A17:N17">
    <cfRule type="containsText" dxfId="120" priority="7" operator="containsText" text="Flight">
      <formula>NOT(ISERROR(SEARCH("Flight",A17)))</formula>
    </cfRule>
  </conditionalFormatting>
  <conditionalFormatting sqref="A19:N19">
    <cfRule type="expression" dxfId="119" priority="6">
      <formula>A19&lt;&gt;""</formula>
    </cfRule>
  </conditionalFormatting>
  <conditionalFormatting sqref="A19:N19">
    <cfRule type="containsText" dxfId="118" priority="5" operator="containsText" text="Flight">
      <formula>NOT(ISERROR(SEARCH("Flight",A19)))</formula>
    </cfRule>
  </conditionalFormatting>
  <conditionalFormatting sqref="A21:N21">
    <cfRule type="expression" dxfId="117" priority="4">
      <formula>A21&lt;&gt;""</formula>
    </cfRule>
  </conditionalFormatting>
  <conditionalFormatting sqref="A21:N21">
    <cfRule type="containsText" dxfId="116" priority="3" operator="containsText" text="Flight">
      <formula>NOT(ISERROR(SEARCH("Flight",A21)))</formula>
    </cfRule>
  </conditionalFormatting>
  <conditionalFormatting sqref="A23:N23">
    <cfRule type="expression" dxfId="115" priority="2">
      <formula>A23&lt;&gt;""</formula>
    </cfRule>
  </conditionalFormatting>
  <conditionalFormatting sqref="A23:N23">
    <cfRule type="containsText" dxfId="114" priority="1" operator="containsText" text="Flight">
      <formula>NOT(ISERROR(SEARCH("Flight",A23)))</formula>
    </cfRule>
  </conditionalFormatting>
  <dataValidations count="3">
    <dataValidation type="list" allowBlank="1" showInputMessage="1" showErrorMessage="1" sqref="A17:N17 A19:N19 A21:N21 A23:N23 A15:N15">
      <formula1>Flight.1</formula1>
    </dataValidation>
    <dataValidation type="list" allowBlank="1" showInputMessage="1" showErrorMessage="1" sqref="A16:N16 A18:N18 A20:N20 A22:N22 A14:N14">
      <formula1>Ground.1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A14" sqref="A14:F15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45" ht="11.25" customHeight="1" x14ac:dyDescent="0.2"/>
    <row r="2" spans="1:45" ht="18" customHeight="1" x14ac:dyDescent="0.2">
      <c r="A2" s="4"/>
      <c r="B2" s="38" t="s">
        <v>15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51" t="s">
        <v>83</v>
      </c>
      <c r="P2" s="52"/>
      <c r="Q2" s="52"/>
      <c r="R2" s="66">
        <v>2013</v>
      </c>
    </row>
    <row r="3" spans="1:45" ht="21" customHeight="1" x14ac:dyDescent="0.2">
      <c r="A3" s="4"/>
      <c r="B3" s="3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24"/>
      <c r="O3" s="53"/>
      <c r="P3" s="54"/>
      <c r="Q3" s="54"/>
      <c r="R3" s="67"/>
    </row>
    <row r="4" spans="1:45" ht="18" customHeight="1" x14ac:dyDescent="0.2">
      <c r="A4" s="4"/>
      <c r="B4" s="39"/>
      <c r="C4" s="6">
        <f>IF(DAY(MaySun1)=1,MaySun1-6,MaySun1+1)</f>
        <v>41393</v>
      </c>
      <c r="D4" s="6">
        <f>IF(DAY(MaySun1)=1,MaySun1-5,MaySun1+2)</f>
        <v>41394</v>
      </c>
      <c r="E4" s="6">
        <f>IF(DAY(MaySun1)=1,MaySun1-4,MaySun1+3)</f>
        <v>41395</v>
      </c>
      <c r="F4" s="6">
        <f>IF(DAY(MaySun1)=1,MaySun1-3,MaySun1+4)</f>
        <v>41396</v>
      </c>
      <c r="G4" s="6">
        <f>IF(DAY(MaySun1)=1,MaySun1-2,MaySun1+5)</f>
        <v>41397</v>
      </c>
      <c r="H4" s="6">
        <f>IF(DAY(MaySun1)=1,MaySun1-1,MaySun1+6)</f>
        <v>41398</v>
      </c>
      <c r="I4" s="6">
        <f>IF(DAY(MaySun1)=1,MaySun1,MaySun1+7)</f>
        <v>41399</v>
      </c>
      <c r="J4" s="6"/>
      <c r="K4" s="6"/>
      <c r="L4" s="6"/>
      <c r="M4" s="6"/>
      <c r="N4" s="24"/>
      <c r="O4" s="57"/>
      <c r="P4" s="7"/>
      <c r="Q4" s="58"/>
      <c r="R4" s="59"/>
    </row>
    <row r="5" spans="1:45" ht="18" customHeight="1" x14ac:dyDescent="0.2">
      <c r="A5" s="4"/>
      <c r="B5" s="39"/>
      <c r="C5" s="6">
        <f>IF(DAY(MaySun1)=1,MaySun1+1,MaySun1+8)</f>
        <v>41400</v>
      </c>
      <c r="D5" s="6">
        <f>IF(DAY(MaySun1)=1,MaySun1+2,MaySun1+9)</f>
        <v>41401</v>
      </c>
      <c r="E5" s="6">
        <f>IF(DAY(MaySun1)=1,MaySun1+3,MaySun1+10)</f>
        <v>41402</v>
      </c>
      <c r="F5" s="6">
        <f>IF(DAY(MaySun1)=1,MaySun1+4,MaySun1+11)</f>
        <v>41403</v>
      </c>
      <c r="G5" s="6">
        <f>IF(DAY(MaySun1)=1,MaySun1+5,MaySun1+12)</f>
        <v>41404</v>
      </c>
      <c r="H5" s="6">
        <f>IF(DAY(MaySun1)=1,MaySun1+6,MaySun1+13)</f>
        <v>41405</v>
      </c>
      <c r="I5" s="6">
        <f>IF(DAY(MaySun1)=1,MaySun1+7,MaySun1+14)</f>
        <v>41406</v>
      </c>
      <c r="J5" s="6"/>
      <c r="K5" s="6"/>
      <c r="L5" s="6"/>
      <c r="M5" s="6"/>
      <c r="N5" s="24"/>
      <c r="O5" s="56"/>
      <c r="P5" s="8"/>
      <c r="Q5" s="60"/>
      <c r="R5" s="61"/>
    </row>
    <row r="6" spans="1:45" ht="18" customHeight="1" x14ac:dyDescent="0.2">
      <c r="A6" s="4"/>
      <c r="B6" s="39"/>
      <c r="C6" s="6">
        <f>IF(DAY(MaySun1)=1,MaySun1+8,MaySun1+15)</f>
        <v>41407</v>
      </c>
      <c r="D6" s="6">
        <f>IF(DAY(MaySun1)=1,MaySun1+9,MaySun1+16)</f>
        <v>41408</v>
      </c>
      <c r="E6" s="6">
        <f>IF(DAY(MaySun1)=1,MaySun1+10,MaySun1+17)</f>
        <v>41409</v>
      </c>
      <c r="F6" s="6">
        <f>IF(DAY(MaySun1)=1,MaySun1+11,MaySun1+18)</f>
        <v>41410</v>
      </c>
      <c r="G6" s="6">
        <f>IF(DAY(MaySun1)=1,MaySun1+12,MaySun1+19)</f>
        <v>41411</v>
      </c>
      <c r="H6" s="6">
        <f>IF(DAY(MaySun1)=1,MaySun1+13,MaySun1+20)</f>
        <v>41412</v>
      </c>
      <c r="I6" s="6">
        <f>IF(DAY(MaySun1)=1,MaySun1+14,MaySun1+21)</f>
        <v>41413</v>
      </c>
      <c r="J6" s="6"/>
      <c r="K6" s="6"/>
      <c r="L6" s="6"/>
      <c r="M6" s="6"/>
      <c r="N6" s="24"/>
      <c r="O6" s="56"/>
      <c r="P6" s="8"/>
      <c r="Q6" s="60"/>
      <c r="R6" s="61"/>
    </row>
    <row r="7" spans="1:45" ht="18" customHeight="1" x14ac:dyDescent="0.2">
      <c r="A7" s="4"/>
      <c r="B7" s="39"/>
      <c r="C7" s="6">
        <f>IF(DAY(MaySun1)=1,MaySun1+15,MaySun1+22)</f>
        <v>41414</v>
      </c>
      <c r="D7" s="6">
        <f>IF(DAY(MaySun1)=1,MaySun1+16,MaySun1+23)</f>
        <v>41415</v>
      </c>
      <c r="E7" s="6">
        <f>IF(DAY(MaySun1)=1,MaySun1+17,MaySun1+24)</f>
        <v>41416</v>
      </c>
      <c r="F7" s="6">
        <f>IF(DAY(MaySun1)=1,MaySun1+18,MaySun1+25)</f>
        <v>41417</v>
      </c>
      <c r="G7" s="6">
        <f>IF(DAY(MaySun1)=1,MaySun1+19,MaySun1+26)</f>
        <v>41418</v>
      </c>
      <c r="H7" s="6">
        <f>IF(DAY(MaySun1)=1,MaySun1+20,MaySun1+27)</f>
        <v>41419</v>
      </c>
      <c r="I7" s="6">
        <f>IF(DAY(MaySun1)=1,MaySun1+21,MaySun1+28)</f>
        <v>41420</v>
      </c>
      <c r="J7" s="6"/>
      <c r="K7" s="6"/>
      <c r="L7" s="6"/>
      <c r="M7" s="6"/>
      <c r="N7" s="24"/>
      <c r="O7" s="26"/>
      <c r="P7" s="8"/>
      <c r="Q7" s="60"/>
      <c r="R7" s="61"/>
    </row>
    <row r="8" spans="1:45" ht="18.75" customHeight="1" x14ac:dyDescent="0.2">
      <c r="A8" s="4"/>
      <c r="B8" s="39"/>
      <c r="C8" s="6">
        <f>IF(DAY(MaySun1)=1,MaySun1+22,MaySun1+29)</f>
        <v>41421</v>
      </c>
      <c r="D8" s="6">
        <f>IF(DAY(MaySun1)=1,MaySun1+23,MaySun1+30)</f>
        <v>41422</v>
      </c>
      <c r="E8" s="6">
        <f>IF(DAY(MaySun1)=1,MaySun1+24,MaySun1+31)</f>
        <v>41423</v>
      </c>
      <c r="F8" s="6">
        <f>IF(DAY(MaySun1)=1,MaySun1+25,MaySun1+32)</f>
        <v>41424</v>
      </c>
      <c r="G8" s="6">
        <f>IF(DAY(MaySun1)=1,MaySun1+26,MaySun1+33)</f>
        <v>41425</v>
      </c>
      <c r="H8" s="6">
        <f>IF(DAY(MaySun1)=1,MaySun1+27,MaySun1+34)</f>
        <v>41426</v>
      </c>
      <c r="I8" s="6">
        <f>IF(DAY(MaySun1)=1,MaySun1+28,MaySun1+35)</f>
        <v>41427</v>
      </c>
      <c r="J8" s="6"/>
      <c r="K8" s="6"/>
      <c r="L8" s="6"/>
      <c r="M8" s="6"/>
      <c r="N8" s="24"/>
      <c r="O8" s="26"/>
      <c r="P8" s="8"/>
      <c r="Q8" s="60"/>
      <c r="R8" s="61"/>
    </row>
    <row r="9" spans="1:45" ht="18" customHeight="1" x14ac:dyDescent="0.2">
      <c r="A9" s="4"/>
      <c r="B9" s="39"/>
      <c r="C9" s="6">
        <f>IF(DAY(MaySun1)=1,MaySun1+29,MaySun1+36)</f>
        <v>41428</v>
      </c>
      <c r="D9" s="6">
        <f>IF(DAY(MaySun1)=1,MaySun1+30,MaySun1+37)</f>
        <v>41429</v>
      </c>
      <c r="E9" s="6">
        <f>IF(DAY(MaySun1)=1,MaySun1+31,MaySun1+38)</f>
        <v>41430</v>
      </c>
      <c r="F9" s="6">
        <f>IF(DAY(MaySun1)=1,MaySun1+32,MaySun1+39)</f>
        <v>41431</v>
      </c>
      <c r="G9" s="6">
        <f>IF(DAY(MaySun1)=1,MaySun1+33,MaySun1+40)</f>
        <v>41432</v>
      </c>
      <c r="H9" s="6">
        <f>IF(DAY(MaySun1)=1,MaySun1+34,MaySun1+41)</f>
        <v>41433</v>
      </c>
      <c r="I9" s="6">
        <f>IF(DAY(MaySun1)=1,MaySun1+35,MaySun1+42)</f>
        <v>41434</v>
      </c>
      <c r="J9" s="6"/>
      <c r="K9" s="6"/>
      <c r="L9" s="6"/>
      <c r="M9" s="6"/>
      <c r="N9" s="24"/>
      <c r="O9" s="27"/>
      <c r="P9" s="9"/>
      <c r="Q9" s="62"/>
      <c r="R9" s="63"/>
    </row>
    <row r="10" spans="1:45" ht="18" customHeight="1" x14ac:dyDescent="0.2">
      <c r="A10" s="4"/>
      <c r="B10" s="4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5"/>
      <c r="O10" s="55"/>
      <c r="P10" s="7"/>
      <c r="Q10" s="64"/>
      <c r="R10" s="65"/>
    </row>
    <row r="11" spans="1:45" ht="18" customHeight="1" x14ac:dyDescent="0.2">
      <c r="A11" s="4"/>
      <c r="B11" s="41" t="s">
        <v>11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56"/>
      <c r="P11" s="8"/>
      <c r="Q11" s="60"/>
      <c r="R11" s="61"/>
    </row>
    <row r="12" spans="1:45" ht="18" customHeight="1" x14ac:dyDescent="0.2">
      <c r="A12" s="4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56"/>
      <c r="P12" s="8"/>
      <c r="Q12" s="60"/>
      <c r="R12" s="61"/>
    </row>
    <row r="13" spans="1:45" ht="18" customHeight="1" x14ac:dyDescent="0.2">
      <c r="B13" s="3" t="s">
        <v>5</v>
      </c>
      <c r="C13" s="49" t="s">
        <v>6</v>
      </c>
      <c r="D13" s="50"/>
      <c r="E13" s="49" t="s">
        <v>7</v>
      </c>
      <c r="F13" s="50"/>
      <c r="G13" s="49" t="s">
        <v>8</v>
      </c>
      <c r="H13" s="50"/>
      <c r="I13" s="49" t="s">
        <v>9</v>
      </c>
      <c r="J13" s="50"/>
      <c r="K13" s="49" t="s">
        <v>23</v>
      </c>
      <c r="L13" s="50"/>
      <c r="M13" s="49" t="s">
        <v>24</v>
      </c>
      <c r="N13" s="75"/>
      <c r="O13" s="26"/>
      <c r="P13" s="8"/>
      <c r="Q13" s="60"/>
      <c r="R13" s="61"/>
    </row>
    <row r="14" spans="1:45" s="34" customFormat="1" ht="21.95" customHeight="1" x14ac:dyDescent="0.2">
      <c r="A14" s="92"/>
      <c r="B14" s="94"/>
      <c r="C14" s="92"/>
      <c r="D14" s="94"/>
      <c r="E14" s="92"/>
      <c r="F14" s="94"/>
      <c r="G14" s="92"/>
      <c r="H14" s="94"/>
      <c r="I14" s="92"/>
      <c r="J14" s="94"/>
      <c r="K14" s="92"/>
      <c r="L14" s="94"/>
      <c r="M14" s="92"/>
      <c r="N14" s="93"/>
      <c r="O14" s="31"/>
      <c r="P14" s="32"/>
      <c r="Q14" s="86"/>
      <c r="R14" s="87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</row>
    <row r="15" spans="1:45" s="34" customFormat="1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35"/>
      <c r="P15" s="36"/>
      <c r="Q15" s="88"/>
      <c r="R15" s="89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</row>
    <row r="16" spans="1:45" s="34" customFormat="1" ht="21.95" customHeight="1" x14ac:dyDescent="0.2">
      <c r="A16" s="92"/>
      <c r="B16" s="94"/>
      <c r="C16" s="92"/>
      <c r="D16" s="94"/>
      <c r="E16" s="92"/>
      <c r="F16" s="94"/>
      <c r="G16" s="92"/>
      <c r="H16" s="94"/>
      <c r="I16" s="92"/>
      <c r="J16" s="94"/>
      <c r="K16" s="92"/>
      <c r="L16" s="94"/>
      <c r="M16" s="92"/>
      <c r="N16" s="93"/>
      <c r="O16" s="97"/>
      <c r="P16" s="37"/>
      <c r="Q16" s="95"/>
      <c r="R16" s="9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</row>
    <row r="17" spans="1:45" s="34" customFormat="1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98"/>
      <c r="P17" s="32"/>
      <c r="Q17" s="86"/>
      <c r="R17" s="87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</row>
    <row r="18" spans="1:45" s="34" customFormat="1" ht="21.95" customHeight="1" x14ac:dyDescent="0.2">
      <c r="A18" s="92"/>
      <c r="B18" s="94"/>
      <c r="C18" s="92"/>
      <c r="D18" s="94"/>
      <c r="E18" s="92"/>
      <c r="F18" s="94"/>
      <c r="G18" s="92"/>
      <c r="H18" s="94"/>
      <c r="I18" s="92"/>
      <c r="J18" s="94"/>
      <c r="K18" s="92"/>
      <c r="L18" s="94"/>
      <c r="M18" s="92"/>
      <c r="N18" s="93"/>
      <c r="O18" s="98"/>
      <c r="P18" s="32"/>
      <c r="Q18" s="86"/>
      <c r="R18" s="87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</row>
    <row r="19" spans="1:45" s="34" customFormat="1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31"/>
      <c r="P19" s="32"/>
      <c r="Q19" s="86"/>
      <c r="R19" s="87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</row>
    <row r="20" spans="1:45" s="34" customFormat="1" ht="21.95" customHeight="1" x14ac:dyDescent="0.2">
      <c r="A20" s="92"/>
      <c r="B20" s="94"/>
      <c r="C20" s="92"/>
      <c r="D20" s="94"/>
      <c r="E20" s="92"/>
      <c r="F20" s="94"/>
      <c r="G20" s="92"/>
      <c r="H20" s="94"/>
      <c r="I20" s="92"/>
      <c r="J20" s="94"/>
      <c r="K20" s="92"/>
      <c r="L20" s="94"/>
      <c r="M20" s="92"/>
      <c r="N20" s="93"/>
      <c r="O20" s="31"/>
      <c r="P20" s="32"/>
      <c r="Q20" s="86"/>
      <c r="R20" s="87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5" s="34" customFormat="1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35"/>
      <c r="P21" s="36"/>
      <c r="Q21" s="88"/>
      <c r="R21" s="89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</row>
    <row r="22" spans="1:45" s="34" customFormat="1" ht="21.95" customHeight="1" x14ac:dyDescent="0.2">
      <c r="A22" s="92"/>
      <c r="B22" s="94"/>
      <c r="C22" s="92"/>
      <c r="D22" s="94"/>
      <c r="E22" s="92"/>
      <c r="F22" s="94"/>
      <c r="G22" s="92"/>
      <c r="H22" s="94"/>
      <c r="I22" s="92"/>
      <c r="J22" s="94"/>
      <c r="K22" s="92"/>
      <c r="L22" s="94"/>
      <c r="M22" s="92"/>
      <c r="N22" s="94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</row>
    <row r="23" spans="1:45" s="34" customFormat="1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47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</row>
  </sheetData>
  <mergeCells count="101"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113" priority="14" stopIfTrue="1">
      <formula>DAY(C4)&gt;8</formula>
    </cfRule>
  </conditionalFormatting>
  <conditionalFormatting sqref="C8:M10">
    <cfRule type="expression" dxfId="112" priority="13" stopIfTrue="1">
      <formula>AND(DAY(C8)&gt;=1,DAY(C8)&lt;=15)</formula>
    </cfRule>
  </conditionalFormatting>
  <conditionalFormatting sqref="C4:M9">
    <cfRule type="expression" dxfId="111" priority="15">
      <formula>VLOOKUP(DAY(C4),AssignmentDays,1,FALSE)=DAY(C4)</formula>
    </cfRule>
  </conditionalFormatting>
  <conditionalFormatting sqref="A14:N14 A16:N16 A18:N18 A20:N20 A22:N22">
    <cfRule type="expression" dxfId="110" priority="11">
      <formula>A14&lt;&gt;""</formula>
    </cfRule>
  </conditionalFormatting>
  <conditionalFormatting sqref="A23:N23">
    <cfRule type="expression" dxfId="109" priority="10">
      <formula>A23&lt;&gt;""</formula>
    </cfRule>
  </conditionalFormatting>
  <conditionalFormatting sqref="A23:N23">
    <cfRule type="containsText" dxfId="108" priority="9" operator="containsText" text="Flight">
      <formula>NOT(ISERROR(SEARCH("Flight",A23)))</formula>
    </cfRule>
  </conditionalFormatting>
  <conditionalFormatting sqref="A21:N21">
    <cfRule type="expression" dxfId="107" priority="8">
      <formula>A21&lt;&gt;""</formula>
    </cfRule>
  </conditionalFormatting>
  <conditionalFormatting sqref="A21:N21">
    <cfRule type="containsText" dxfId="106" priority="7" operator="containsText" text="Flight">
      <formula>NOT(ISERROR(SEARCH("Flight",A21)))</formula>
    </cfRule>
  </conditionalFormatting>
  <conditionalFormatting sqref="A19:N19">
    <cfRule type="expression" dxfId="105" priority="6">
      <formula>A19&lt;&gt;""</formula>
    </cfRule>
  </conditionalFormatting>
  <conditionalFormatting sqref="A19:N19">
    <cfRule type="containsText" dxfId="104" priority="5" operator="containsText" text="Flight">
      <formula>NOT(ISERROR(SEARCH("Flight",A19)))</formula>
    </cfRule>
  </conditionalFormatting>
  <conditionalFormatting sqref="A17:N17">
    <cfRule type="expression" dxfId="103" priority="4">
      <formula>A17&lt;&gt;""</formula>
    </cfRule>
  </conditionalFormatting>
  <conditionalFormatting sqref="A17:N17">
    <cfRule type="containsText" dxfId="102" priority="3" operator="containsText" text="Flight">
      <formula>NOT(ISERROR(SEARCH("Flight",A17)))</formula>
    </cfRule>
  </conditionalFormatting>
  <conditionalFormatting sqref="A15:N15">
    <cfRule type="expression" dxfId="101" priority="2">
      <formula>A15&lt;&gt;""</formula>
    </cfRule>
  </conditionalFormatting>
  <conditionalFormatting sqref="A15:N15">
    <cfRule type="containsText" dxfId="100" priority="1" operator="containsText" text="Flight">
      <formula>NOT(ISERROR(SEARCH("Flight",A15)))</formula>
    </cfRule>
  </conditionalFormatting>
  <dataValidations count="4">
    <dataValidation type="list" allowBlank="1" showInputMessage="1" showErrorMessage="1" sqref="A17:N17 A19:N19 A21:N21 A23:N23 A15:N15">
      <formula1>Flight.1</formula1>
    </dataValidation>
    <dataValidation type="list" allowBlank="1" showInputMessage="1" showErrorMessage="1" sqref="A16:N16 A18:N18 A20:N20 A22:N22 C14:N14">
      <formula1>Ground.3</formula1>
    </dataValidation>
    <dataValidation allowBlank="1" showInputMessage="1" showErrorMessage="1" errorTitle="Invalid Year" error="Enter a year from 1900 to 9999, or use the scroll bar to find a year." sqref="R2"/>
    <dataValidation type="list" allowBlank="1" showInputMessage="1" showErrorMessage="1" sqref="A14:B14">
      <formula1>Ground.1</formula1>
    </dataValidation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G19" sqref="G19:N23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45" ht="11.25" customHeight="1" x14ac:dyDescent="0.2"/>
    <row r="2" spans="1:45" ht="18" customHeight="1" x14ac:dyDescent="0.2">
      <c r="A2" s="4"/>
      <c r="B2" s="38" t="s">
        <v>16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90" t="s">
        <v>83</v>
      </c>
      <c r="P2" s="52">
        <v>2013</v>
      </c>
      <c r="Q2" s="52"/>
      <c r="R2" s="66">
        <v>2013</v>
      </c>
    </row>
    <row r="3" spans="1:45" ht="21" customHeight="1" x14ac:dyDescent="0.2">
      <c r="A3" s="4"/>
      <c r="B3" s="3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5"/>
      <c r="O3" s="91"/>
      <c r="P3" s="54"/>
      <c r="Q3" s="54"/>
      <c r="R3" s="67"/>
    </row>
    <row r="4" spans="1:45" ht="18" customHeight="1" x14ac:dyDescent="0.2">
      <c r="A4" s="4"/>
      <c r="B4" s="39"/>
      <c r="C4" s="6">
        <f>IF(DAY(JunSun1)=1,JunSun1-6,JunSun1+1)</f>
        <v>41421</v>
      </c>
      <c r="D4" s="6">
        <f>IF(DAY(JunSun1)=1,JunSun1-5,JunSun1+2)</f>
        <v>41422</v>
      </c>
      <c r="E4" s="6">
        <f>IF(DAY(JunSun1)=1,JunSun1-4,JunSun1+3)</f>
        <v>41423</v>
      </c>
      <c r="F4" s="6">
        <f>IF(DAY(JunSun1)=1,JunSun1-3,JunSun1+4)</f>
        <v>41424</v>
      </c>
      <c r="G4" s="6">
        <f>IF(DAY(JunSun1)=1,JunSun1-2,JunSun1+5)</f>
        <v>41425</v>
      </c>
      <c r="H4" s="6">
        <f>IF(DAY(JunSun1)=1,JunSun1-1,JunSun1+6)</f>
        <v>41426</v>
      </c>
      <c r="I4" s="6">
        <f>IF(DAY(JunSun1)=1,JunSun1,JunSun1+7)</f>
        <v>41427</v>
      </c>
      <c r="J4" s="6"/>
      <c r="K4" s="6"/>
      <c r="L4" s="6"/>
      <c r="M4" s="6"/>
      <c r="N4" s="24"/>
      <c r="O4" s="57"/>
      <c r="P4" s="30"/>
      <c r="Q4" s="58"/>
      <c r="R4" s="59"/>
    </row>
    <row r="5" spans="1:45" ht="18" customHeight="1" x14ac:dyDescent="0.2">
      <c r="A5" s="4"/>
      <c r="B5" s="39"/>
      <c r="C5" s="6">
        <f>IF(DAY(JunSun1)=1,JunSun1+1,JunSun1+8)</f>
        <v>41428</v>
      </c>
      <c r="D5" s="6">
        <f>IF(DAY(JunSun1)=1,JunSun1+2,JunSun1+9)</f>
        <v>41429</v>
      </c>
      <c r="E5" s="6">
        <f>IF(DAY(JunSun1)=1,JunSun1+3,JunSun1+10)</f>
        <v>41430</v>
      </c>
      <c r="F5" s="6">
        <f>IF(DAY(JunSun1)=1,JunSun1+4,JunSun1+11)</f>
        <v>41431</v>
      </c>
      <c r="G5" s="6">
        <f>IF(DAY(JunSun1)=1,JunSun1+5,JunSun1+12)</f>
        <v>41432</v>
      </c>
      <c r="H5" s="6">
        <f>IF(DAY(JunSun1)=1,JunSun1+6,JunSun1+13)</f>
        <v>41433</v>
      </c>
      <c r="I5" s="6">
        <f>IF(DAY(JunSun1)=1,JunSun1+7,JunSun1+14)</f>
        <v>41434</v>
      </c>
      <c r="J5" s="6"/>
      <c r="K5" s="6"/>
      <c r="L5" s="6"/>
      <c r="M5" s="6"/>
      <c r="N5" s="24"/>
      <c r="O5" s="56"/>
      <c r="P5" s="8"/>
      <c r="Q5" s="60"/>
      <c r="R5" s="61"/>
    </row>
    <row r="6" spans="1:45" ht="18" customHeight="1" x14ac:dyDescent="0.2">
      <c r="A6" s="4"/>
      <c r="B6" s="39"/>
      <c r="C6" s="6">
        <f>IF(DAY(JunSun1)=1,JunSun1+8,JunSun1+15)</f>
        <v>41435</v>
      </c>
      <c r="D6" s="6">
        <f>IF(DAY(JunSun1)=1,JunSun1+9,JunSun1+16)</f>
        <v>41436</v>
      </c>
      <c r="E6" s="6">
        <f>IF(DAY(JunSun1)=1,JunSun1+10,JunSun1+17)</f>
        <v>41437</v>
      </c>
      <c r="F6" s="6">
        <f>IF(DAY(JunSun1)=1,JunSun1+11,JunSun1+18)</f>
        <v>41438</v>
      </c>
      <c r="G6" s="6">
        <f>IF(DAY(JunSun1)=1,JunSun1+12,JunSun1+19)</f>
        <v>41439</v>
      </c>
      <c r="H6" s="6">
        <f>IF(DAY(JunSun1)=1,JunSun1+13,JunSun1+20)</f>
        <v>41440</v>
      </c>
      <c r="I6" s="6">
        <f>IF(DAY(JunSun1)=1,JunSun1+14,JunSun1+21)</f>
        <v>41441</v>
      </c>
      <c r="J6" s="6"/>
      <c r="K6" s="6"/>
      <c r="L6" s="6"/>
      <c r="M6" s="6"/>
      <c r="N6" s="24"/>
      <c r="O6" s="56"/>
      <c r="P6" s="8"/>
      <c r="Q6" s="60"/>
      <c r="R6" s="61"/>
    </row>
    <row r="7" spans="1:45" ht="18" customHeight="1" x14ac:dyDescent="0.2">
      <c r="A7" s="4"/>
      <c r="B7" s="39"/>
      <c r="C7" s="6">
        <f>IF(DAY(JunSun1)=1,JunSun1+15,JunSun1+22)</f>
        <v>41442</v>
      </c>
      <c r="D7" s="6">
        <f>IF(DAY(JunSun1)=1,JunSun1+16,JunSun1+23)</f>
        <v>41443</v>
      </c>
      <c r="E7" s="6">
        <f>IF(DAY(JunSun1)=1,JunSun1+17,JunSun1+24)</f>
        <v>41444</v>
      </c>
      <c r="F7" s="6">
        <f>IF(DAY(JunSun1)=1,JunSun1+18,JunSun1+25)</f>
        <v>41445</v>
      </c>
      <c r="G7" s="6">
        <f>IF(DAY(JunSun1)=1,JunSun1+19,JunSun1+26)</f>
        <v>41446</v>
      </c>
      <c r="H7" s="6">
        <f>IF(DAY(JunSun1)=1,JunSun1+20,JunSun1+27)</f>
        <v>41447</v>
      </c>
      <c r="I7" s="6">
        <f>IF(DAY(JunSun1)=1,JunSun1+21,JunSun1+28)</f>
        <v>41448</v>
      </c>
      <c r="J7" s="6"/>
      <c r="K7" s="6"/>
      <c r="L7" s="6"/>
      <c r="M7" s="6"/>
      <c r="N7" s="24"/>
      <c r="O7" s="26"/>
      <c r="P7" s="8"/>
      <c r="Q7" s="60"/>
      <c r="R7" s="61"/>
    </row>
    <row r="8" spans="1:45" ht="18.75" customHeight="1" x14ac:dyDescent="0.2">
      <c r="A8" s="4"/>
      <c r="B8" s="39"/>
      <c r="C8" s="6">
        <f>IF(DAY(JunSun1)=1,JunSun1+22,JunSun1+29)</f>
        <v>41449</v>
      </c>
      <c r="D8" s="6">
        <f>IF(DAY(JunSun1)=1,JunSun1+23,JunSun1+30)</f>
        <v>41450</v>
      </c>
      <c r="E8" s="6">
        <f>IF(DAY(JunSun1)=1,JunSun1+24,JunSun1+31)</f>
        <v>41451</v>
      </c>
      <c r="F8" s="6">
        <f>IF(DAY(JunSun1)=1,JunSun1+25,JunSun1+32)</f>
        <v>41452</v>
      </c>
      <c r="G8" s="6">
        <f>IF(DAY(JunSun1)=1,JunSun1+26,JunSun1+33)</f>
        <v>41453</v>
      </c>
      <c r="H8" s="6">
        <f>IF(DAY(JunSun1)=1,JunSun1+27,JunSun1+34)</f>
        <v>41454</v>
      </c>
      <c r="I8" s="6">
        <f>IF(DAY(JunSun1)=1,JunSun1+28,JunSun1+35)</f>
        <v>41455</v>
      </c>
      <c r="J8" s="6"/>
      <c r="K8" s="6"/>
      <c r="L8" s="6"/>
      <c r="M8" s="6"/>
      <c r="N8" s="24"/>
      <c r="O8" s="26"/>
      <c r="P8" s="8"/>
      <c r="Q8" s="60"/>
      <c r="R8" s="61"/>
    </row>
    <row r="9" spans="1:45" ht="18" customHeight="1" x14ac:dyDescent="0.2">
      <c r="A9" s="4"/>
      <c r="B9" s="39"/>
      <c r="C9" s="6">
        <f>IF(DAY(JunSun1)=1,JunSun1+29,JunSun1+36)</f>
        <v>41456</v>
      </c>
      <c r="D9" s="6">
        <f>IF(DAY(JunSun1)=1,JunSun1+30,JunSun1+37)</f>
        <v>41457</v>
      </c>
      <c r="E9" s="6">
        <f>IF(DAY(JunSun1)=1,JunSun1+31,JunSun1+38)</f>
        <v>41458</v>
      </c>
      <c r="F9" s="6">
        <f>IF(DAY(JunSun1)=1,JunSun1+32,JunSun1+39)</f>
        <v>41459</v>
      </c>
      <c r="G9" s="6">
        <f>IF(DAY(JunSun1)=1,JunSun1+33,JunSun1+40)</f>
        <v>41460</v>
      </c>
      <c r="H9" s="6">
        <f>IF(DAY(JunSun1)=1,JunSun1+34,JunSun1+41)</f>
        <v>41461</v>
      </c>
      <c r="I9" s="6">
        <f>IF(DAY(JunSun1)=1,JunSun1+35,JunSun1+42)</f>
        <v>41462</v>
      </c>
      <c r="J9" s="6"/>
      <c r="K9" s="6"/>
      <c r="L9" s="6"/>
      <c r="M9" s="6"/>
      <c r="N9" s="24"/>
      <c r="O9" s="27"/>
      <c r="P9" s="9"/>
      <c r="Q9" s="62"/>
      <c r="R9" s="63"/>
    </row>
    <row r="10" spans="1:45" ht="18" customHeight="1" x14ac:dyDescent="0.2">
      <c r="A10" s="4"/>
      <c r="B10" s="4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5"/>
      <c r="O10" s="55"/>
      <c r="P10" s="7"/>
      <c r="Q10" s="64"/>
      <c r="R10" s="65"/>
    </row>
    <row r="11" spans="1:45" ht="18" customHeight="1" x14ac:dyDescent="0.2">
      <c r="A11" s="4"/>
      <c r="B11" s="41" t="s">
        <v>11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56"/>
      <c r="P11" s="8"/>
      <c r="Q11" s="60"/>
      <c r="R11" s="61"/>
    </row>
    <row r="12" spans="1:45" ht="18" customHeight="1" x14ac:dyDescent="0.2">
      <c r="A12" s="4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56"/>
      <c r="P12" s="8"/>
      <c r="Q12" s="60"/>
      <c r="R12" s="61"/>
    </row>
    <row r="13" spans="1:45" ht="18" customHeight="1" x14ac:dyDescent="0.2">
      <c r="B13" s="3" t="s">
        <v>5</v>
      </c>
      <c r="C13" s="49" t="s">
        <v>6</v>
      </c>
      <c r="D13" s="50"/>
      <c r="E13" s="49" t="s">
        <v>7</v>
      </c>
      <c r="F13" s="50"/>
      <c r="G13" s="49" t="s">
        <v>8</v>
      </c>
      <c r="H13" s="50"/>
      <c r="I13" s="49" t="s">
        <v>9</v>
      </c>
      <c r="J13" s="50"/>
      <c r="K13" s="49" t="s">
        <v>23</v>
      </c>
      <c r="L13" s="50"/>
      <c r="M13" s="49" t="s">
        <v>24</v>
      </c>
      <c r="N13" s="75"/>
      <c r="O13" s="26"/>
      <c r="P13" s="8"/>
      <c r="Q13" s="60"/>
      <c r="R13" s="61"/>
    </row>
    <row r="14" spans="1:45" s="34" customFormat="1" ht="21.95" customHeight="1" x14ac:dyDescent="0.2">
      <c r="A14" s="92"/>
      <c r="B14" s="94"/>
      <c r="C14" s="92"/>
      <c r="D14" s="94"/>
      <c r="E14" s="92"/>
      <c r="F14" s="94"/>
      <c r="G14" s="92"/>
      <c r="H14" s="94"/>
      <c r="I14" s="92"/>
      <c r="J14" s="94"/>
      <c r="K14" s="92"/>
      <c r="L14" s="94"/>
      <c r="M14" s="92"/>
      <c r="N14" s="93"/>
      <c r="O14" s="31"/>
      <c r="P14" s="32"/>
      <c r="Q14" s="86"/>
      <c r="R14" s="87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</row>
    <row r="15" spans="1:45" s="34" customFormat="1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35"/>
      <c r="P15" s="36"/>
      <c r="Q15" s="88"/>
      <c r="R15" s="89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</row>
    <row r="16" spans="1:45" s="34" customFormat="1" ht="21.95" customHeight="1" x14ac:dyDescent="0.2">
      <c r="A16" s="92"/>
      <c r="B16" s="94"/>
      <c r="C16" s="92"/>
      <c r="D16" s="94"/>
      <c r="E16" s="92"/>
      <c r="F16" s="94"/>
      <c r="G16" s="92"/>
      <c r="H16" s="94"/>
      <c r="I16" s="92"/>
      <c r="J16" s="94"/>
      <c r="K16" s="92"/>
      <c r="L16" s="94"/>
      <c r="M16" s="92"/>
      <c r="N16" s="93"/>
      <c r="O16" s="97"/>
      <c r="P16" s="37"/>
      <c r="Q16" s="95"/>
      <c r="R16" s="9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</row>
    <row r="17" spans="1:45" s="34" customFormat="1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98"/>
      <c r="P17" s="32"/>
      <c r="Q17" s="86"/>
      <c r="R17" s="87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</row>
    <row r="18" spans="1:45" s="34" customFormat="1" ht="21.95" customHeight="1" x14ac:dyDescent="0.2">
      <c r="A18" s="92"/>
      <c r="B18" s="94"/>
      <c r="C18" s="92"/>
      <c r="D18" s="94"/>
      <c r="E18" s="92"/>
      <c r="F18" s="94"/>
      <c r="G18" s="92"/>
      <c r="H18" s="94"/>
      <c r="I18" s="92"/>
      <c r="J18" s="94"/>
      <c r="K18" s="92"/>
      <c r="L18" s="94"/>
      <c r="M18" s="92"/>
      <c r="N18" s="93"/>
      <c r="O18" s="98"/>
      <c r="P18" s="32"/>
      <c r="Q18" s="86"/>
      <c r="R18" s="87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</row>
    <row r="19" spans="1:45" s="34" customFormat="1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31"/>
      <c r="P19" s="32"/>
      <c r="Q19" s="86"/>
      <c r="R19" s="87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</row>
    <row r="20" spans="1:45" s="34" customFormat="1" ht="21.95" customHeight="1" x14ac:dyDescent="0.2">
      <c r="A20" s="92"/>
      <c r="B20" s="94"/>
      <c r="C20" s="92"/>
      <c r="D20" s="94"/>
      <c r="E20" s="92"/>
      <c r="F20" s="94"/>
      <c r="G20" s="92"/>
      <c r="H20" s="94"/>
      <c r="I20" s="92"/>
      <c r="J20" s="94"/>
      <c r="K20" s="92"/>
      <c r="L20" s="94"/>
      <c r="M20" s="92"/>
      <c r="N20" s="93"/>
      <c r="O20" s="31"/>
      <c r="P20" s="32"/>
      <c r="Q20" s="86"/>
      <c r="R20" s="87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5" s="34" customFormat="1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35"/>
      <c r="P21" s="36"/>
      <c r="Q21" s="88"/>
      <c r="R21" s="89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</row>
    <row r="22" spans="1:45" s="34" customFormat="1" ht="21.95" customHeight="1" x14ac:dyDescent="0.2">
      <c r="A22" s="92"/>
      <c r="B22" s="94"/>
      <c r="C22" s="92"/>
      <c r="D22" s="94"/>
      <c r="E22" s="92"/>
      <c r="F22" s="94"/>
      <c r="G22" s="92"/>
      <c r="H22" s="94"/>
      <c r="I22" s="92"/>
      <c r="J22" s="94"/>
      <c r="K22" s="92"/>
      <c r="L22" s="94"/>
      <c r="M22" s="92"/>
      <c r="N22" s="93"/>
      <c r="O22" s="99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</row>
    <row r="23" spans="1:45" s="34" customFormat="1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101"/>
      <c r="O23" s="100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</row>
  </sheetData>
  <mergeCells count="102">
    <mergeCell ref="M22:N22"/>
    <mergeCell ref="O22:O23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99" priority="14" stopIfTrue="1">
      <formula>DAY(C4)&gt;8</formula>
    </cfRule>
  </conditionalFormatting>
  <conditionalFormatting sqref="C8:M10">
    <cfRule type="expression" dxfId="98" priority="13" stopIfTrue="1">
      <formula>AND(DAY(C8)&gt;=1,DAY(C8)&lt;=15)</formula>
    </cfRule>
  </conditionalFormatting>
  <conditionalFormatting sqref="C4:M9">
    <cfRule type="expression" dxfId="97" priority="15">
      <formula>VLOOKUP(DAY(C4),AssignmentDays,1,FALSE)=DAY(C4)</formula>
    </cfRule>
  </conditionalFormatting>
  <conditionalFormatting sqref="A14:N14 A16:N16 A18:N18 A20:N20 A22:N22">
    <cfRule type="expression" dxfId="96" priority="11">
      <formula>A14&lt;&gt;""</formula>
    </cfRule>
  </conditionalFormatting>
  <conditionalFormatting sqref="A15:N15">
    <cfRule type="expression" dxfId="95" priority="10">
      <formula>A15&lt;&gt;""</formula>
    </cfRule>
  </conditionalFormatting>
  <conditionalFormatting sqref="A15:N15">
    <cfRule type="containsText" dxfId="94" priority="9" operator="containsText" text="Flight">
      <formula>NOT(ISERROR(SEARCH("Flight",A15)))</formula>
    </cfRule>
  </conditionalFormatting>
  <conditionalFormatting sqref="A17:N17">
    <cfRule type="expression" dxfId="93" priority="8">
      <formula>A17&lt;&gt;""</formula>
    </cfRule>
  </conditionalFormatting>
  <conditionalFormatting sqref="A17:N17">
    <cfRule type="containsText" dxfId="92" priority="7" operator="containsText" text="Flight">
      <formula>NOT(ISERROR(SEARCH("Flight",A17)))</formula>
    </cfRule>
  </conditionalFormatting>
  <conditionalFormatting sqref="A19:N19">
    <cfRule type="expression" dxfId="91" priority="6">
      <formula>A19&lt;&gt;""</formula>
    </cfRule>
  </conditionalFormatting>
  <conditionalFormatting sqref="A19:N19">
    <cfRule type="containsText" dxfId="90" priority="5" operator="containsText" text="Flight">
      <formula>NOT(ISERROR(SEARCH("Flight",A19)))</formula>
    </cfRule>
  </conditionalFormatting>
  <conditionalFormatting sqref="A21:N21">
    <cfRule type="expression" dxfId="89" priority="4">
      <formula>A21&lt;&gt;""</formula>
    </cfRule>
  </conditionalFormatting>
  <conditionalFormatting sqref="A21:N21">
    <cfRule type="containsText" dxfId="88" priority="3" operator="containsText" text="Flight">
      <formula>NOT(ISERROR(SEARCH("Flight",A21)))</formula>
    </cfRule>
  </conditionalFormatting>
  <conditionalFormatting sqref="A23:N23">
    <cfRule type="expression" dxfId="87" priority="2">
      <formula>A23&lt;&gt;""</formula>
    </cfRule>
  </conditionalFormatting>
  <conditionalFormatting sqref="A23:N23">
    <cfRule type="containsText" dxfId="86" priority="1" operator="containsText" text="Flight">
      <formula>NOT(ISERROR(SEARCH("Flight",A23)))</formula>
    </cfRule>
  </conditionalFormatting>
  <dataValidations count="3">
    <dataValidation type="list" allowBlank="1" showInputMessage="1" showErrorMessage="1" sqref="A17:N17 A19:N19 A21:N21 A23:N23 A15:N15">
      <formula1>Flight.1</formula1>
    </dataValidation>
    <dataValidation type="list" allowBlank="1" showInputMessage="1" showErrorMessage="1" sqref="A16:N16 A18:N18 A20:N20 A22:N22 A14:N14">
      <formula1>Ground.1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topLeftCell="A2" zoomScaleNormal="100" zoomScalePageLayoutView="84" workbookViewId="0">
      <selection activeCell="A14" sqref="A14:H22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45" ht="11.25" customHeight="1" x14ac:dyDescent="0.2"/>
    <row r="2" spans="1:45" ht="18" customHeight="1" x14ac:dyDescent="0.2">
      <c r="A2" s="4"/>
      <c r="B2" s="38" t="s">
        <v>17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51" t="s">
        <v>83</v>
      </c>
      <c r="P2" s="52"/>
      <c r="Q2" s="52"/>
      <c r="R2" s="66">
        <v>2013</v>
      </c>
    </row>
    <row r="3" spans="1:45" ht="21" customHeight="1" x14ac:dyDescent="0.2">
      <c r="A3" s="4"/>
      <c r="B3" s="3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24"/>
      <c r="O3" s="53"/>
      <c r="P3" s="54"/>
      <c r="Q3" s="54"/>
      <c r="R3" s="67"/>
    </row>
    <row r="4" spans="1:45" ht="18" customHeight="1" x14ac:dyDescent="0.2">
      <c r="A4" s="4"/>
      <c r="B4" s="39"/>
      <c r="C4" s="6">
        <f>IF(DAY(JulSun1)=1,JulSun1-6,JulSun1+1)</f>
        <v>41456</v>
      </c>
      <c r="D4" s="6">
        <f>IF(DAY(JulSun1)=1,JulSun1-5,JulSun1+2)</f>
        <v>41457</v>
      </c>
      <c r="E4" s="6">
        <f>IF(DAY(JulSun1)=1,JulSun1-4,JulSun1+3)</f>
        <v>41458</v>
      </c>
      <c r="F4" s="6">
        <f>IF(DAY(JulSun1)=1,JulSun1-3,JulSun1+4)</f>
        <v>41459</v>
      </c>
      <c r="G4" s="6">
        <f>IF(DAY(JulSun1)=1,JulSun1-2,JulSun1+5)</f>
        <v>41460</v>
      </c>
      <c r="H4" s="6">
        <f>IF(DAY(JulSun1)=1,JulSun1-1,JulSun1+6)</f>
        <v>41461</v>
      </c>
      <c r="I4" s="6">
        <f>IF(DAY(JulSun1)=1,JulSun1,JulSun1+7)</f>
        <v>41462</v>
      </c>
      <c r="J4" s="6"/>
      <c r="K4" s="6"/>
      <c r="L4" s="6"/>
      <c r="M4" s="6"/>
      <c r="N4" s="24"/>
      <c r="O4" s="57"/>
      <c r="P4" s="7"/>
      <c r="Q4" s="58"/>
      <c r="R4" s="59"/>
    </row>
    <row r="5" spans="1:45" ht="18" customHeight="1" x14ac:dyDescent="0.2">
      <c r="A5" s="4"/>
      <c r="B5" s="39"/>
      <c r="C5" s="6">
        <f>IF(DAY(JulSun1)=1,JulSun1+1,JulSun1+8)</f>
        <v>41463</v>
      </c>
      <c r="D5" s="6">
        <f>IF(DAY(JulSun1)=1,JulSun1+2,JulSun1+9)</f>
        <v>41464</v>
      </c>
      <c r="E5" s="6">
        <f>IF(DAY(JulSun1)=1,JulSun1+3,JulSun1+10)</f>
        <v>41465</v>
      </c>
      <c r="F5" s="6">
        <f>IF(DAY(JulSun1)=1,JulSun1+4,JulSun1+11)</f>
        <v>41466</v>
      </c>
      <c r="G5" s="6">
        <f>IF(DAY(JulSun1)=1,JulSun1+5,JulSun1+12)</f>
        <v>41467</v>
      </c>
      <c r="H5" s="6">
        <f>IF(DAY(JulSun1)=1,JulSun1+6,JulSun1+13)</f>
        <v>41468</v>
      </c>
      <c r="I5" s="6">
        <f>IF(DAY(JulSun1)=1,JulSun1+7,JulSun1+14)</f>
        <v>41469</v>
      </c>
      <c r="J5" s="6"/>
      <c r="K5" s="6"/>
      <c r="L5" s="6"/>
      <c r="M5" s="6"/>
      <c r="N5" s="24"/>
      <c r="O5" s="56"/>
      <c r="P5" s="8"/>
      <c r="Q5" s="60"/>
      <c r="R5" s="61"/>
    </row>
    <row r="6" spans="1:45" ht="18" customHeight="1" x14ac:dyDescent="0.2">
      <c r="A6" s="4"/>
      <c r="B6" s="39"/>
      <c r="C6" s="6">
        <f>IF(DAY(JulSun1)=1,JulSun1+8,JulSun1+15)</f>
        <v>41470</v>
      </c>
      <c r="D6" s="6">
        <f>IF(DAY(JulSun1)=1,JulSun1+9,JulSun1+16)</f>
        <v>41471</v>
      </c>
      <c r="E6" s="6">
        <f>IF(DAY(JulSun1)=1,JulSun1+10,JulSun1+17)</f>
        <v>41472</v>
      </c>
      <c r="F6" s="6">
        <f>IF(DAY(JulSun1)=1,JulSun1+11,JulSun1+18)</f>
        <v>41473</v>
      </c>
      <c r="G6" s="6">
        <f>IF(DAY(JulSun1)=1,JulSun1+12,JulSun1+19)</f>
        <v>41474</v>
      </c>
      <c r="H6" s="6">
        <f>IF(DAY(JulSun1)=1,JulSun1+13,JulSun1+20)</f>
        <v>41475</v>
      </c>
      <c r="I6" s="6">
        <f>IF(DAY(JulSun1)=1,JulSun1+14,JulSun1+21)</f>
        <v>41476</v>
      </c>
      <c r="J6" s="6"/>
      <c r="K6" s="6"/>
      <c r="L6" s="6"/>
      <c r="M6" s="6"/>
      <c r="N6" s="24"/>
      <c r="O6" s="56"/>
      <c r="P6" s="8"/>
      <c r="Q6" s="60"/>
      <c r="R6" s="61"/>
    </row>
    <row r="7" spans="1:45" ht="18" customHeight="1" x14ac:dyDescent="0.2">
      <c r="A7" s="4"/>
      <c r="B7" s="39"/>
      <c r="C7" s="6">
        <f>IF(DAY(JulSun1)=1,JulSun1+15,JulSun1+22)</f>
        <v>41477</v>
      </c>
      <c r="D7" s="6">
        <f>IF(DAY(JulSun1)=1,JulSun1+16,JulSun1+23)</f>
        <v>41478</v>
      </c>
      <c r="E7" s="6">
        <f>IF(DAY(JulSun1)=1,JulSun1+17,JulSun1+24)</f>
        <v>41479</v>
      </c>
      <c r="F7" s="6">
        <f>IF(DAY(JulSun1)=1,JulSun1+18,JulSun1+25)</f>
        <v>41480</v>
      </c>
      <c r="G7" s="6">
        <f>IF(DAY(JulSun1)=1,JulSun1+19,JulSun1+26)</f>
        <v>41481</v>
      </c>
      <c r="H7" s="6">
        <f>IF(DAY(JulSun1)=1,JulSun1+20,JulSun1+27)</f>
        <v>41482</v>
      </c>
      <c r="I7" s="6">
        <f>IF(DAY(JulSun1)=1,JulSun1+21,JulSun1+28)</f>
        <v>41483</v>
      </c>
      <c r="J7" s="6"/>
      <c r="K7" s="6"/>
      <c r="L7" s="6"/>
      <c r="M7" s="6"/>
      <c r="N7" s="24"/>
      <c r="O7" s="26"/>
      <c r="P7" s="8"/>
      <c r="Q7" s="60"/>
      <c r="R7" s="61"/>
    </row>
    <row r="8" spans="1:45" ht="18.75" customHeight="1" x14ac:dyDescent="0.2">
      <c r="A8" s="4"/>
      <c r="B8" s="39"/>
      <c r="C8" s="6">
        <f>IF(DAY(JulSun1)=1,JulSun1+22,JulSun1+29)</f>
        <v>41484</v>
      </c>
      <c r="D8" s="6">
        <f>IF(DAY(JulSun1)=1,JulSun1+23,JulSun1+30)</f>
        <v>41485</v>
      </c>
      <c r="E8" s="6">
        <f>IF(DAY(JulSun1)=1,JulSun1+24,JulSun1+31)</f>
        <v>41486</v>
      </c>
      <c r="F8" s="6">
        <f>IF(DAY(JulSun1)=1,JulSun1+25,JulSun1+32)</f>
        <v>41487</v>
      </c>
      <c r="G8" s="6">
        <f>IF(DAY(JulSun1)=1,JulSun1+26,JulSun1+33)</f>
        <v>41488</v>
      </c>
      <c r="H8" s="6">
        <f>IF(DAY(JulSun1)=1,JulSun1+27,JulSun1+34)</f>
        <v>41489</v>
      </c>
      <c r="I8" s="6">
        <f>IF(DAY(JulSun1)=1,JulSun1+28,JulSun1+35)</f>
        <v>41490</v>
      </c>
      <c r="J8" s="6"/>
      <c r="K8" s="6"/>
      <c r="L8" s="6"/>
      <c r="M8" s="6"/>
      <c r="N8" s="24"/>
      <c r="O8" s="26"/>
      <c r="P8" s="8"/>
      <c r="Q8" s="60"/>
      <c r="R8" s="61"/>
    </row>
    <row r="9" spans="1:45" ht="18" customHeight="1" x14ac:dyDescent="0.2">
      <c r="A9" s="4"/>
      <c r="B9" s="39"/>
      <c r="C9" s="6">
        <f>IF(DAY(JulSun1)=1,JulSun1+29,JulSun1+36)</f>
        <v>41491</v>
      </c>
      <c r="D9" s="6">
        <f>IF(DAY(JulSun1)=1,JulSun1+30,JulSun1+37)</f>
        <v>41492</v>
      </c>
      <c r="E9" s="6">
        <f>IF(DAY(JulSun1)=1,JulSun1+31,JulSun1+38)</f>
        <v>41493</v>
      </c>
      <c r="F9" s="6">
        <f>IF(DAY(JulSun1)=1,JulSun1+32,JulSun1+39)</f>
        <v>41494</v>
      </c>
      <c r="G9" s="6">
        <f>IF(DAY(JulSun1)=1,JulSun1+33,JulSun1+40)</f>
        <v>41495</v>
      </c>
      <c r="H9" s="6">
        <f>IF(DAY(JulSun1)=1,JulSun1+34,JulSun1+41)</f>
        <v>41496</v>
      </c>
      <c r="I9" s="6">
        <f>IF(DAY(JulSun1)=1,JulSun1+35,JulSun1+42)</f>
        <v>41497</v>
      </c>
      <c r="J9" s="6"/>
      <c r="K9" s="6"/>
      <c r="L9" s="6"/>
      <c r="M9" s="6"/>
      <c r="N9" s="24"/>
      <c r="O9" s="27"/>
      <c r="P9" s="9"/>
      <c r="Q9" s="62"/>
      <c r="R9" s="63"/>
    </row>
    <row r="10" spans="1:45" ht="18" customHeight="1" x14ac:dyDescent="0.2">
      <c r="A10" s="4"/>
      <c r="B10" s="4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5"/>
      <c r="O10" s="55"/>
      <c r="P10" s="7"/>
      <c r="Q10" s="64"/>
      <c r="R10" s="65"/>
    </row>
    <row r="11" spans="1:45" ht="18" customHeight="1" x14ac:dyDescent="0.2">
      <c r="A11" s="4"/>
      <c r="B11" s="41" t="s">
        <v>11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56"/>
      <c r="P11" s="8"/>
      <c r="Q11" s="60"/>
      <c r="R11" s="61"/>
    </row>
    <row r="12" spans="1:45" ht="18" customHeight="1" x14ac:dyDescent="0.2">
      <c r="A12" s="4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56"/>
      <c r="P12" s="8"/>
      <c r="Q12" s="60"/>
      <c r="R12" s="61"/>
    </row>
    <row r="13" spans="1:45" ht="18" customHeight="1" x14ac:dyDescent="0.2">
      <c r="B13" s="3" t="s">
        <v>5</v>
      </c>
      <c r="C13" s="49" t="s">
        <v>6</v>
      </c>
      <c r="D13" s="50"/>
      <c r="E13" s="49" t="s">
        <v>7</v>
      </c>
      <c r="F13" s="50"/>
      <c r="G13" s="49" t="s">
        <v>8</v>
      </c>
      <c r="H13" s="50"/>
      <c r="I13" s="49" t="s">
        <v>9</v>
      </c>
      <c r="J13" s="50"/>
      <c r="K13" s="49" t="s">
        <v>23</v>
      </c>
      <c r="L13" s="50"/>
      <c r="M13" s="49" t="s">
        <v>24</v>
      </c>
      <c r="N13" s="75"/>
      <c r="O13" s="26"/>
      <c r="P13" s="8"/>
      <c r="Q13" s="60"/>
      <c r="R13" s="61"/>
    </row>
    <row r="14" spans="1:45" s="34" customFormat="1" ht="21.95" customHeight="1" x14ac:dyDescent="0.2">
      <c r="A14" s="92"/>
      <c r="B14" s="94"/>
      <c r="C14" s="92"/>
      <c r="D14" s="94"/>
      <c r="E14" s="92"/>
      <c r="F14" s="94"/>
      <c r="G14" s="92"/>
      <c r="H14" s="94"/>
      <c r="I14" s="92"/>
      <c r="J14" s="94"/>
      <c r="K14" s="92"/>
      <c r="L14" s="94"/>
      <c r="M14" s="92"/>
      <c r="N14" s="93"/>
      <c r="O14" s="31"/>
      <c r="P14" s="32"/>
      <c r="Q14" s="86"/>
      <c r="R14" s="87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</row>
    <row r="15" spans="1:45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28"/>
      <c r="P15" s="10"/>
      <c r="Q15" s="62"/>
      <c r="R15" s="63"/>
    </row>
    <row r="16" spans="1:45" ht="21.95" customHeight="1" x14ac:dyDescent="0.2">
      <c r="A16" s="102"/>
      <c r="B16" s="104"/>
      <c r="C16" s="102"/>
      <c r="D16" s="104"/>
      <c r="E16" s="102"/>
      <c r="F16" s="104"/>
      <c r="G16" s="102"/>
      <c r="H16" s="104"/>
      <c r="I16" s="102"/>
      <c r="J16" s="104"/>
      <c r="K16" s="102"/>
      <c r="L16" s="104"/>
      <c r="M16" s="102"/>
      <c r="N16" s="103"/>
      <c r="O16" s="68"/>
      <c r="P16" s="7"/>
      <c r="Q16" s="64"/>
      <c r="R16" s="65"/>
    </row>
    <row r="17" spans="1:45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69"/>
      <c r="P17" s="8"/>
      <c r="Q17" s="60"/>
      <c r="R17" s="61"/>
    </row>
    <row r="18" spans="1:45" ht="21.95" customHeight="1" x14ac:dyDescent="0.2">
      <c r="A18" s="102"/>
      <c r="B18" s="104"/>
      <c r="C18" s="102"/>
      <c r="D18" s="104"/>
      <c r="E18" s="102"/>
      <c r="F18" s="104"/>
      <c r="G18" s="102"/>
      <c r="H18" s="104"/>
      <c r="I18" s="102"/>
      <c r="J18" s="104"/>
      <c r="K18" s="102"/>
      <c r="L18" s="104"/>
      <c r="M18" s="102"/>
      <c r="N18" s="103"/>
      <c r="O18" s="69"/>
      <c r="P18" s="8"/>
      <c r="Q18" s="60"/>
      <c r="R18" s="61"/>
    </row>
    <row r="19" spans="1:45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26"/>
      <c r="P19" s="8"/>
      <c r="Q19" s="60"/>
      <c r="R19" s="61"/>
    </row>
    <row r="20" spans="1:45" ht="21.95" customHeight="1" x14ac:dyDescent="0.2">
      <c r="A20" s="102"/>
      <c r="B20" s="104"/>
      <c r="C20" s="102"/>
      <c r="D20" s="104"/>
      <c r="E20" s="102"/>
      <c r="F20" s="104"/>
      <c r="G20" s="102"/>
      <c r="H20" s="104"/>
      <c r="I20" s="102"/>
      <c r="J20" s="104"/>
      <c r="K20" s="102"/>
      <c r="L20" s="104"/>
      <c r="M20" s="102"/>
      <c r="N20" s="103"/>
      <c r="O20" s="26"/>
      <c r="P20" s="8"/>
      <c r="Q20" s="60"/>
      <c r="R20" s="61"/>
    </row>
    <row r="21" spans="1:45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28"/>
      <c r="P21" s="10"/>
      <c r="Q21" s="62"/>
      <c r="R21" s="63"/>
    </row>
    <row r="22" spans="1:45" ht="21.95" customHeight="1" x14ac:dyDescent="0.2">
      <c r="A22" s="102"/>
      <c r="B22" s="104"/>
      <c r="C22" s="102"/>
      <c r="D22" s="104"/>
      <c r="E22" s="102"/>
      <c r="F22" s="104"/>
      <c r="G22" s="102"/>
      <c r="H22" s="104"/>
      <c r="I22" s="102"/>
      <c r="J22" s="104"/>
      <c r="K22" s="102"/>
      <c r="L22" s="104"/>
      <c r="M22" s="102"/>
      <c r="N22" s="104"/>
      <c r="O22"/>
      <c r="Q22"/>
      <c r="R22"/>
      <c r="AP22" s="1"/>
      <c r="AQ22" s="1"/>
      <c r="AR22" s="1"/>
      <c r="AS22" s="1"/>
    </row>
    <row r="23" spans="1:45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47"/>
      <c r="O23"/>
      <c r="Q23"/>
      <c r="R23"/>
      <c r="AP23" s="1"/>
      <c r="AQ23" s="1"/>
      <c r="AR23" s="1"/>
      <c r="AS23" s="1"/>
    </row>
  </sheetData>
  <mergeCells count="101"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85" priority="14" stopIfTrue="1">
      <formula>DAY(C4)&gt;8</formula>
    </cfRule>
  </conditionalFormatting>
  <conditionalFormatting sqref="C8:M10">
    <cfRule type="expression" dxfId="84" priority="13" stopIfTrue="1">
      <formula>AND(DAY(C8)&gt;=1,DAY(C8)&lt;=15)</formula>
    </cfRule>
  </conditionalFormatting>
  <conditionalFormatting sqref="C4:M9">
    <cfRule type="expression" dxfId="83" priority="15">
      <formula>VLOOKUP(DAY(C4),AssignmentDays,1,FALSE)=DAY(C4)</formula>
    </cfRule>
  </conditionalFormatting>
  <conditionalFormatting sqref="A14:N14 A16:N16 A18:N18 A20:N20 A22:N22">
    <cfRule type="expression" dxfId="82" priority="11">
      <formula>A14&lt;&gt;""</formula>
    </cfRule>
  </conditionalFormatting>
  <conditionalFormatting sqref="A15:N15">
    <cfRule type="expression" dxfId="81" priority="10">
      <formula>A15&lt;&gt;""</formula>
    </cfRule>
  </conditionalFormatting>
  <conditionalFormatting sqref="A15:N15">
    <cfRule type="containsText" dxfId="80" priority="9" operator="containsText" text="Flight">
      <formula>NOT(ISERROR(SEARCH("Flight",A15)))</formula>
    </cfRule>
  </conditionalFormatting>
  <conditionalFormatting sqref="A17:N17">
    <cfRule type="expression" dxfId="79" priority="8">
      <formula>A17&lt;&gt;""</formula>
    </cfRule>
  </conditionalFormatting>
  <conditionalFormatting sqref="A17:N17">
    <cfRule type="containsText" dxfId="78" priority="7" operator="containsText" text="Flight">
      <formula>NOT(ISERROR(SEARCH("Flight",A17)))</formula>
    </cfRule>
  </conditionalFormatting>
  <conditionalFormatting sqref="A19:N19">
    <cfRule type="expression" dxfId="77" priority="6">
      <formula>A19&lt;&gt;""</formula>
    </cfRule>
  </conditionalFormatting>
  <conditionalFormatting sqref="A19:N19">
    <cfRule type="containsText" dxfId="76" priority="5" operator="containsText" text="Flight">
      <formula>NOT(ISERROR(SEARCH("Flight",A19)))</formula>
    </cfRule>
  </conditionalFormatting>
  <conditionalFormatting sqref="A21:N21">
    <cfRule type="expression" dxfId="75" priority="4">
      <formula>A21&lt;&gt;""</formula>
    </cfRule>
  </conditionalFormatting>
  <conditionalFormatting sqref="A21:N21">
    <cfRule type="containsText" dxfId="74" priority="3" operator="containsText" text="Flight">
      <formula>NOT(ISERROR(SEARCH("Flight",A21)))</formula>
    </cfRule>
  </conditionalFormatting>
  <conditionalFormatting sqref="A23:N23">
    <cfRule type="expression" dxfId="73" priority="2">
      <formula>A23&lt;&gt;""</formula>
    </cfRule>
  </conditionalFormatting>
  <conditionalFormatting sqref="A23:N23">
    <cfRule type="containsText" dxfId="72" priority="1" operator="containsText" text="Flight">
      <formula>NOT(ISERROR(SEARCH("Flight",A23)))</formula>
    </cfRule>
  </conditionalFormatting>
  <dataValidations count="3">
    <dataValidation type="list" allowBlank="1" showInputMessage="1" showErrorMessage="1" sqref="A17:N17 A19:N19 A21:N21 A23:N23 A15:N15">
      <formula1>Flight.1</formula1>
    </dataValidation>
    <dataValidation type="list" allowBlank="1" showInputMessage="1" showErrorMessage="1" sqref="A16:N16 A18:N18 A20:N20 A22:N22 A14:N14">
      <formula1>Ground.1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A14" sqref="A14:H25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18" ht="11.25" customHeight="1" x14ac:dyDescent="0.2"/>
    <row r="2" spans="1:18" ht="18" customHeight="1" x14ac:dyDescent="0.2">
      <c r="A2" s="4"/>
      <c r="B2" s="38" t="s">
        <v>18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90" t="s">
        <v>83</v>
      </c>
      <c r="P2" s="52"/>
      <c r="Q2" s="52"/>
      <c r="R2" s="66">
        <v>2013</v>
      </c>
    </row>
    <row r="3" spans="1:18" ht="21" customHeight="1" x14ac:dyDescent="0.2">
      <c r="A3" s="4"/>
      <c r="B3" s="3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5"/>
      <c r="O3" s="91"/>
      <c r="P3" s="54"/>
      <c r="Q3" s="54"/>
      <c r="R3" s="67"/>
    </row>
    <row r="4" spans="1:18" ht="18" customHeight="1" x14ac:dyDescent="0.2">
      <c r="A4" s="4"/>
      <c r="B4" s="39"/>
      <c r="C4" s="6">
        <f>IF(DAY(AugSun1)=1,AugSun1-6,AugSun1+1)</f>
        <v>41484</v>
      </c>
      <c r="D4" s="6">
        <f>IF(DAY(AugSun1)=1,AugSun1-5,AugSun1+2)</f>
        <v>41485</v>
      </c>
      <c r="E4" s="6">
        <f>IF(DAY(AugSun1)=1,AugSun1-4,AugSun1+3)</f>
        <v>41486</v>
      </c>
      <c r="F4" s="6">
        <f>IF(DAY(AugSun1)=1,AugSun1-3,AugSun1+4)</f>
        <v>41487</v>
      </c>
      <c r="G4" s="6">
        <f>IF(DAY(AugSun1)=1,AugSun1-2,AugSun1+5)</f>
        <v>41488</v>
      </c>
      <c r="H4" s="6">
        <f>IF(DAY(AugSun1)=1,AugSun1-1,AugSun1+6)</f>
        <v>41489</v>
      </c>
      <c r="I4" s="6">
        <f>IF(DAY(AugSun1)=1,AugSun1,AugSun1+7)</f>
        <v>41490</v>
      </c>
      <c r="J4" s="6"/>
      <c r="K4" s="6"/>
      <c r="L4" s="6"/>
      <c r="M4" s="6"/>
      <c r="N4" s="24"/>
      <c r="O4" s="57"/>
      <c r="P4" s="30"/>
      <c r="Q4" s="58"/>
      <c r="R4" s="59"/>
    </row>
    <row r="5" spans="1:18" ht="18" customHeight="1" x14ac:dyDescent="0.2">
      <c r="A5" s="4"/>
      <c r="B5" s="39"/>
      <c r="C5" s="6">
        <f>IF(DAY(AugSun1)=1,AugSun1+1,AugSun1+8)</f>
        <v>41491</v>
      </c>
      <c r="D5" s="6">
        <f>IF(DAY(AugSun1)=1,AugSun1+2,AugSun1+9)</f>
        <v>41492</v>
      </c>
      <c r="E5" s="6">
        <f>IF(DAY(AugSun1)=1,AugSun1+3,AugSun1+10)</f>
        <v>41493</v>
      </c>
      <c r="F5" s="6">
        <f>IF(DAY(AugSun1)=1,AugSun1+4,AugSun1+11)</f>
        <v>41494</v>
      </c>
      <c r="G5" s="6">
        <f>IF(DAY(AugSun1)=1,AugSun1+5,AugSun1+12)</f>
        <v>41495</v>
      </c>
      <c r="H5" s="6">
        <f>IF(DAY(AugSun1)=1,AugSun1+6,AugSun1+13)</f>
        <v>41496</v>
      </c>
      <c r="I5" s="6">
        <f>IF(DAY(AugSun1)=1,AugSun1+7,AugSun1+14)</f>
        <v>41497</v>
      </c>
      <c r="J5" s="6"/>
      <c r="K5" s="6"/>
      <c r="L5" s="6"/>
      <c r="M5" s="6"/>
      <c r="N5" s="24"/>
      <c r="O5" s="56"/>
      <c r="P5" s="8"/>
      <c r="Q5" s="60"/>
      <c r="R5" s="61"/>
    </row>
    <row r="6" spans="1:18" ht="18" customHeight="1" x14ac:dyDescent="0.2">
      <c r="A6" s="4"/>
      <c r="B6" s="39"/>
      <c r="C6" s="6">
        <f>IF(DAY(AugSun1)=1,AugSun1+8,AugSun1+15)</f>
        <v>41498</v>
      </c>
      <c r="D6" s="6">
        <f>IF(DAY(AugSun1)=1,AugSun1+9,AugSun1+16)</f>
        <v>41499</v>
      </c>
      <c r="E6" s="6">
        <f>IF(DAY(AugSun1)=1,AugSun1+10,AugSun1+17)</f>
        <v>41500</v>
      </c>
      <c r="F6" s="6">
        <f>IF(DAY(AugSun1)=1,AugSun1+11,AugSun1+18)</f>
        <v>41501</v>
      </c>
      <c r="G6" s="6">
        <f>IF(DAY(AugSun1)=1,AugSun1+12,AugSun1+19)</f>
        <v>41502</v>
      </c>
      <c r="H6" s="6">
        <f>IF(DAY(AugSun1)=1,AugSun1+13,AugSun1+20)</f>
        <v>41503</v>
      </c>
      <c r="I6" s="6">
        <f>IF(DAY(AugSun1)=1,AugSun1+14,AugSun1+21)</f>
        <v>41504</v>
      </c>
      <c r="J6" s="6"/>
      <c r="K6" s="6"/>
      <c r="L6" s="6"/>
      <c r="M6" s="6"/>
      <c r="N6" s="24"/>
      <c r="O6" s="56"/>
      <c r="P6" s="8"/>
      <c r="Q6" s="60"/>
      <c r="R6" s="61"/>
    </row>
    <row r="7" spans="1:18" ht="18" customHeight="1" x14ac:dyDescent="0.2">
      <c r="A7" s="4"/>
      <c r="B7" s="39"/>
      <c r="C7" s="6">
        <f>IF(DAY(AugSun1)=1,AugSun1+15,AugSun1+22)</f>
        <v>41505</v>
      </c>
      <c r="D7" s="6">
        <f>IF(DAY(AugSun1)=1,AugSun1+16,AugSun1+23)</f>
        <v>41506</v>
      </c>
      <c r="E7" s="6">
        <f>IF(DAY(AugSun1)=1,AugSun1+17,AugSun1+24)</f>
        <v>41507</v>
      </c>
      <c r="F7" s="6">
        <f>IF(DAY(AugSun1)=1,AugSun1+18,AugSun1+25)</f>
        <v>41508</v>
      </c>
      <c r="G7" s="6">
        <f>IF(DAY(AugSun1)=1,AugSun1+19,AugSun1+26)</f>
        <v>41509</v>
      </c>
      <c r="H7" s="6">
        <f>IF(DAY(AugSun1)=1,AugSun1+20,AugSun1+27)</f>
        <v>41510</v>
      </c>
      <c r="I7" s="6">
        <f>IF(DAY(AugSun1)=1,AugSun1+21,AugSun1+28)</f>
        <v>41511</v>
      </c>
      <c r="J7" s="6"/>
      <c r="K7" s="6"/>
      <c r="L7" s="6"/>
      <c r="M7" s="6"/>
      <c r="N7" s="24"/>
      <c r="O7" s="26"/>
      <c r="P7" s="8"/>
      <c r="Q7" s="60"/>
      <c r="R7" s="61"/>
    </row>
    <row r="8" spans="1:18" ht="18.75" customHeight="1" x14ac:dyDescent="0.2">
      <c r="A8" s="4"/>
      <c r="B8" s="39"/>
      <c r="C8" s="6">
        <f>IF(DAY(AugSun1)=1,AugSun1+22,AugSun1+29)</f>
        <v>41512</v>
      </c>
      <c r="D8" s="6">
        <f>IF(DAY(AugSun1)=1,AugSun1+23,AugSun1+30)</f>
        <v>41513</v>
      </c>
      <c r="E8" s="6">
        <f>IF(DAY(AugSun1)=1,AugSun1+24,AugSun1+31)</f>
        <v>41514</v>
      </c>
      <c r="F8" s="6">
        <f>IF(DAY(AugSun1)=1,AugSun1+25,AugSun1+32)</f>
        <v>41515</v>
      </c>
      <c r="G8" s="6">
        <f>IF(DAY(AugSun1)=1,AugSun1+26,AugSun1+33)</f>
        <v>41516</v>
      </c>
      <c r="H8" s="6">
        <f>IF(DAY(AugSun1)=1,AugSun1+27,AugSun1+34)</f>
        <v>41517</v>
      </c>
      <c r="I8" s="6">
        <f>IF(DAY(AugSun1)=1,AugSun1+28,AugSun1+35)</f>
        <v>41518</v>
      </c>
      <c r="J8" s="6"/>
      <c r="K8" s="6"/>
      <c r="L8" s="6"/>
      <c r="M8" s="6"/>
      <c r="N8" s="24"/>
      <c r="O8" s="26"/>
      <c r="P8" s="8"/>
      <c r="Q8" s="60"/>
      <c r="R8" s="61"/>
    </row>
    <row r="9" spans="1:18" ht="18" customHeight="1" x14ac:dyDescent="0.2">
      <c r="A9" s="4"/>
      <c r="B9" s="39"/>
      <c r="C9" s="6">
        <f>IF(DAY(AugSun1)=1,AugSun1+29,AugSun1+36)</f>
        <v>41519</v>
      </c>
      <c r="D9" s="6">
        <f>IF(DAY(AugSun1)=1,AugSun1+30,AugSun1+37)</f>
        <v>41520</v>
      </c>
      <c r="E9" s="6">
        <f>IF(DAY(AugSun1)=1,AugSun1+31,AugSun1+38)</f>
        <v>41521</v>
      </c>
      <c r="F9" s="6">
        <f>IF(DAY(AugSun1)=1,AugSun1+32,AugSun1+39)</f>
        <v>41522</v>
      </c>
      <c r="G9" s="6">
        <f>IF(DAY(AugSun1)=1,AugSun1+33,AugSun1+40)</f>
        <v>41523</v>
      </c>
      <c r="H9" s="6">
        <f>IF(DAY(AugSun1)=1,AugSun1+34,AugSun1+41)</f>
        <v>41524</v>
      </c>
      <c r="I9" s="6">
        <f>IF(DAY(AugSun1)=1,AugSun1+35,AugSun1+42)</f>
        <v>41525</v>
      </c>
      <c r="J9" s="6"/>
      <c r="K9" s="6"/>
      <c r="L9" s="6"/>
      <c r="M9" s="6"/>
      <c r="N9" s="24"/>
      <c r="O9" s="27"/>
      <c r="P9" s="9"/>
      <c r="Q9" s="62"/>
      <c r="R9" s="63"/>
    </row>
    <row r="10" spans="1:18" ht="18" customHeight="1" x14ac:dyDescent="0.2">
      <c r="A10" s="4"/>
      <c r="B10" s="4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5"/>
      <c r="O10" s="55"/>
      <c r="P10" s="7"/>
      <c r="Q10" s="64"/>
      <c r="R10" s="65"/>
    </row>
    <row r="11" spans="1:18" ht="18" customHeight="1" x14ac:dyDescent="0.2">
      <c r="A11" s="4"/>
      <c r="B11" s="41" t="s">
        <v>11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56"/>
      <c r="P11" s="8"/>
      <c r="Q11" s="60"/>
      <c r="R11" s="61"/>
    </row>
    <row r="12" spans="1:18" ht="18" customHeight="1" x14ac:dyDescent="0.2">
      <c r="A12" s="4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56"/>
      <c r="P12" s="8"/>
      <c r="Q12" s="60"/>
      <c r="R12" s="61"/>
    </row>
    <row r="13" spans="1:18" ht="18" customHeight="1" x14ac:dyDescent="0.2">
      <c r="B13" s="3" t="s">
        <v>5</v>
      </c>
      <c r="C13" s="49" t="s">
        <v>6</v>
      </c>
      <c r="D13" s="50"/>
      <c r="E13" s="49" t="s">
        <v>7</v>
      </c>
      <c r="F13" s="50"/>
      <c r="G13" s="49" t="s">
        <v>8</v>
      </c>
      <c r="H13" s="50"/>
      <c r="I13" s="49" t="s">
        <v>9</v>
      </c>
      <c r="J13" s="50"/>
      <c r="K13" s="49" t="s">
        <v>23</v>
      </c>
      <c r="L13" s="50"/>
      <c r="M13" s="49" t="s">
        <v>24</v>
      </c>
      <c r="N13" s="75"/>
      <c r="O13" s="26"/>
      <c r="P13" s="8"/>
      <c r="Q13" s="60"/>
      <c r="R13" s="61"/>
    </row>
    <row r="14" spans="1:18" ht="21.95" customHeight="1" x14ac:dyDescent="0.2">
      <c r="A14" s="44"/>
      <c r="B14" s="45"/>
      <c r="C14" s="44"/>
      <c r="D14" s="45"/>
      <c r="E14" s="44"/>
      <c r="F14" s="45"/>
      <c r="G14" s="44"/>
      <c r="H14" s="45"/>
      <c r="I14" s="44"/>
      <c r="J14" s="45"/>
      <c r="K14" s="44"/>
      <c r="L14" s="45"/>
      <c r="M14" s="44"/>
      <c r="N14" s="48"/>
      <c r="O14" s="26"/>
      <c r="P14" s="8"/>
      <c r="Q14" s="60"/>
      <c r="R14" s="61"/>
    </row>
    <row r="15" spans="1:18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28"/>
      <c r="P15" s="10"/>
      <c r="Q15" s="62"/>
      <c r="R15" s="63"/>
    </row>
    <row r="16" spans="1:18" ht="21.95" customHeight="1" x14ac:dyDescent="0.2">
      <c r="A16" s="44"/>
      <c r="B16" s="45"/>
      <c r="C16" s="44"/>
      <c r="D16" s="45"/>
      <c r="E16" s="44"/>
      <c r="F16" s="45"/>
      <c r="G16" s="44"/>
      <c r="H16" s="45"/>
      <c r="I16" s="44"/>
      <c r="J16" s="45"/>
      <c r="K16" s="44"/>
      <c r="L16" s="45"/>
      <c r="M16" s="44"/>
      <c r="N16" s="48"/>
      <c r="O16" s="68"/>
      <c r="P16" s="7"/>
      <c r="Q16" s="64"/>
      <c r="R16" s="65"/>
    </row>
    <row r="17" spans="1:45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69"/>
      <c r="P17" s="8"/>
      <c r="Q17" s="60"/>
      <c r="R17" s="61"/>
    </row>
    <row r="18" spans="1:45" ht="21.95" customHeight="1" x14ac:dyDescent="0.2">
      <c r="A18" s="44"/>
      <c r="B18" s="45"/>
      <c r="C18" s="44"/>
      <c r="D18" s="45"/>
      <c r="E18" s="44"/>
      <c r="F18" s="45"/>
      <c r="G18" s="44"/>
      <c r="H18" s="45"/>
      <c r="I18" s="44"/>
      <c r="J18" s="45"/>
      <c r="K18" s="44"/>
      <c r="L18" s="45"/>
      <c r="M18" s="44"/>
      <c r="N18" s="48"/>
      <c r="O18" s="69"/>
      <c r="P18" s="8"/>
      <c r="Q18" s="60"/>
      <c r="R18" s="61"/>
    </row>
    <row r="19" spans="1:45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26"/>
      <c r="P19" s="8"/>
      <c r="Q19" s="60"/>
      <c r="R19" s="61"/>
    </row>
    <row r="20" spans="1:45" ht="21.95" customHeight="1" x14ac:dyDescent="0.2">
      <c r="A20" s="44"/>
      <c r="B20" s="45"/>
      <c r="C20" s="44"/>
      <c r="D20" s="45"/>
      <c r="E20" s="44"/>
      <c r="F20" s="45"/>
      <c r="G20" s="44"/>
      <c r="H20" s="45"/>
      <c r="I20" s="44"/>
      <c r="J20" s="45"/>
      <c r="K20" s="44"/>
      <c r="L20" s="45"/>
      <c r="M20" s="44"/>
      <c r="N20" s="48"/>
      <c r="O20" s="26"/>
      <c r="P20" s="8"/>
      <c r="Q20" s="60"/>
      <c r="R20" s="61"/>
    </row>
    <row r="21" spans="1:45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28"/>
      <c r="P21" s="10"/>
      <c r="Q21" s="62"/>
      <c r="R21" s="63"/>
    </row>
    <row r="22" spans="1:45" ht="21.95" customHeight="1" x14ac:dyDescent="0.2">
      <c r="A22" s="105"/>
      <c r="B22" s="109"/>
      <c r="C22" s="105"/>
      <c r="D22" s="109"/>
      <c r="E22" s="105"/>
      <c r="F22" s="109"/>
      <c r="G22" s="105"/>
      <c r="H22" s="109"/>
      <c r="I22" s="105"/>
      <c r="J22" s="109"/>
      <c r="K22" s="105"/>
      <c r="L22" s="109"/>
      <c r="M22" s="105"/>
      <c r="N22" s="106"/>
      <c r="O22" s="107"/>
      <c r="Q22"/>
      <c r="R22"/>
      <c r="AQ22" s="1"/>
      <c r="AR22" s="1"/>
      <c r="AS22" s="1"/>
    </row>
    <row r="23" spans="1:45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101"/>
      <c r="O23" s="108"/>
      <c r="Q23"/>
      <c r="R23"/>
      <c r="AQ23" s="1"/>
      <c r="AR23" s="1"/>
      <c r="AS23" s="1"/>
    </row>
  </sheetData>
  <mergeCells count="102">
    <mergeCell ref="M22:N22"/>
    <mergeCell ref="O22:O23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71" priority="14" stopIfTrue="1">
      <formula>DAY(C4)&gt;8</formula>
    </cfRule>
  </conditionalFormatting>
  <conditionalFormatting sqref="C8:M10">
    <cfRule type="expression" dxfId="70" priority="13" stopIfTrue="1">
      <formula>AND(DAY(C8)&gt;=1,DAY(C8)&lt;=15)</formula>
    </cfRule>
  </conditionalFormatting>
  <conditionalFormatting sqref="C4:M9">
    <cfRule type="expression" dxfId="69" priority="15">
      <formula>VLOOKUP(DAY(C4),AssignmentDays,1,FALSE)=DAY(C4)</formula>
    </cfRule>
  </conditionalFormatting>
  <conditionalFormatting sqref="A14:N14 A16:N16 A18:N18 A20:N20 A22:N22">
    <cfRule type="expression" dxfId="68" priority="11">
      <formula>A14&lt;&gt;""</formula>
    </cfRule>
  </conditionalFormatting>
  <conditionalFormatting sqref="A15:N15">
    <cfRule type="expression" dxfId="67" priority="10">
      <formula>A15&lt;&gt;""</formula>
    </cfRule>
  </conditionalFormatting>
  <conditionalFormatting sqref="A15:N15">
    <cfRule type="containsText" dxfId="66" priority="9" operator="containsText" text="Flight">
      <formula>NOT(ISERROR(SEARCH("Flight",A15)))</formula>
    </cfRule>
  </conditionalFormatting>
  <conditionalFormatting sqref="A17:N17">
    <cfRule type="expression" dxfId="65" priority="8">
      <formula>A17&lt;&gt;""</formula>
    </cfRule>
  </conditionalFormatting>
  <conditionalFormatting sqref="A17:N17">
    <cfRule type="containsText" dxfId="64" priority="7" operator="containsText" text="Flight">
      <formula>NOT(ISERROR(SEARCH("Flight",A17)))</formula>
    </cfRule>
  </conditionalFormatting>
  <conditionalFormatting sqref="A19:N19">
    <cfRule type="expression" dxfId="63" priority="6">
      <formula>A19&lt;&gt;""</formula>
    </cfRule>
  </conditionalFormatting>
  <conditionalFormatting sqref="A19:N19">
    <cfRule type="containsText" dxfId="62" priority="5" operator="containsText" text="Flight">
      <formula>NOT(ISERROR(SEARCH("Flight",A19)))</formula>
    </cfRule>
  </conditionalFormatting>
  <conditionalFormatting sqref="A21:N21">
    <cfRule type="expression" dxfId="61" priority="4">
      <formula>A21&lt;&gt;""</formula>
    </cfRule>
  </conditionalFormatting>
  <conditionalFormatting sqref="A21:N21">
    <cfRule type="containsText" dxfId="60" priority="3" operator="containsText" text="Flight">
      <formula>NOT(ISERROR(SEARCH("Flight",A21)))</formula>
    </cfRule>
  </conditionalFormatting>
  <conditionalFormatting sqref="A23:N23">
    <cfRule type="expression" dxfId="59" priority="2">
      <formula>A23&lt;&gt;""</formula>
    </cfRule>
  </conditionalFormatting>
  <conditionalFormatting sqref="A23:N23">
    <cfRule type="containsText" dxfId="58" priority="1" operator="containsText" text="Flight">
      <formula>NOT(ISERROR(SEARCH("Flight",A23)))</formula>
    </cfRule>
  </conditionalFormatting>
  <dataValidations count="3">
    <dataValidation type="list" allowBlank="1" showInputMessage="1" showErrorMessage="1" sqref="A17:N17 A19:N19 A21:N21 A23:N23 A15:N15">
      <formula1>Flight.1</formula1>
    </dataValidation>
    <dataValidation type="list" allowBlank="1" showInputMessage="1" showErrorMessage="1" sqref="A16:N16 A18:N18 A20:N20 A22:N22 A14:N14">
      <formula1>Ground.1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S23"/>
  <sheetViews>
    <sheetView showGridLines="0" zoomScaleNormal="100" zoomScalePageLayoutView="84" workbookViewId="0">
      <selection activeCell="C17" sqref="C17:J25"/>
    </sheetView>
  </sheetViews>
  <sheetFormatPr defaultColWidth="8.7109375" defaultRowHeight="16.5" customHeight="1" x14ac:dyDescent="0.2"/>
  <cols>
    <col min="1" max="1" width="2.28515625" style="1" customWidth="1"/>
    <col min="2" max="2" width="20.7109375" style="1" customWidth="1"/>
    <col min="3" max="14" width="10.7109375" style="1" customWidth="1"/>
    <col min="15" max="15" width="5.140625" style="1" customWidth="1"/>
    <col min="16" max="16" width="3.85546875" customWidth="1"/>
    <col min="17" max="17" width="19.5703125" style="1" customWidth="1"/>
    <col min="18" max="18" width="10.7109375" style="1" customWidth="1"/>
    <col min="19" max="19" width="2.28515625" customWidth="1"/>
    <col min="20" max="26" width="8.85546875" customWidth="1"/>
    <col min="46" max="16384" width="8.7109375" style="1"/>
  </cols>
  <sheetData>
    <row r="1" spans="1:45" ht="11.25" customHeight="1" x14ac:dyDescent="0.2"/>
    <row r="2" spans="1:45" ht="18" customHeight="1" x14ac:dyDescent="0.2">
      <c r="A2" s="4"/>
      <c r="B2" s="38" t="s">
        <v>19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90" t="s">
        <v>83</v>
      </c>
      <c r="P2" s="52">
        <v>2013</v>
      </c>
      <c r="Q2" s="52"/>
      <c r="R2" s="66">
        <v>2013</v>
      </c>
    </row>
    <row r="3" spans="1:45" ht="21" customHeight="1" x14ac:dyDescent="0.2">
      <c r="A3" s="4"/>
      <c r="B3" s="39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2"/>
      <c r="K3" s="2"/>
      <c r="L3" s="2"/>
      <c r="M3" s="2"/>
      <c r="N3" s="5"/>
      <c r="O3" s="91"/>
      <c r="P3" s="54"/>
      <c r="Q3" s="54"/>
      <c r="R3" s="67"/>
    </row>
    <row r="4" spans="1:45" ht="18" customHeight="1" x14ac:dyDescent="0.2">
      <c r="A4" s="4"/>
      <c r="B4" s="39"/>
      <c r="C4" s="6">
        <f>IF(DAY(SepSun1)=1,SepSun1-6,SepSun1+1)</f>
        <v>41512</v>
      </c>
      <c r="D4" s="6">
        <f>IF(DAY(SepSun1)=1,SepSun1-5,SepSun1+2)</f>
        <v>41513</v>
      </c>
      <c r="E4" s="6">
        <f>IF(DAY(SepSun1)=1,SepSun1-4,SepSun1+3)</f>
        <v>41514</v>
      </c>
      <c r="F4" s="6">
        <f>IF(DAY(SepSun1)=1,SepSun1-3,SepSun1+4)</f>
        <v>41515</v>
      </c>
      <c r="G4" s="6">
        <f>IF(DAY(SepSun1)=1,SepSun1-2,SepSun1+5)</f>
        <v>41516</v>
      </c>
      <c r="H4" s="6">
        <f>IF(DAY(SepSun1)=1,SepSun1-1,SepSun1+6)</f>
        <v>41517</v>
      </c>
      <c r="I4" s="6">
        <f>IF(DAY(SepSun1)=1,SepSun1,SepSun1+7)</f>
        <v>41518</v>
      </c>
      <c r="J4" s="6"/>
      <c r="K4" s="6"/>
      <c r="L4" s="6"/>
      <c r="M4" s="6"/>
      <c r="N4" s="24"/>
      <c r="O4" s="57"/>
      <c r="P4" s="30"/>
      <c r="Q4" s="58"/>
      <c r="R4" s="59"/>
    </row>
    <row r="5" spans="1:45" ht="18" customHeight="1" x14ac:dyDescent="0.2">
      <c r="A5" s="4"/>
      <c r="B5" s="39"/>
      <c r="C5" s="6">
        <f>IF(DAY(SepSun1)=1,SepSun1+1,SepSun1+8)</f>
        <v>41519</v>
      </c>
      <c r="D5" s="6">
        <f>IF(DAY(SepSun1)=1,SepSun1+2,SepSun1+9)</f>
        <v>41520</v>
      </c>
      <c r="E5" s="6">
        <f>IF(DAY(SepSun1)=1,SepSun1+3,SepSun1+10)</f>
        <v>41521</v>
      </c>
      <c r="F5" s="6">
        <f>IF(DAY(SepSun1)=1,SepSun1+4,SepSun1+11)</f>
        <v>41522</v>
      </c>
      <c r="G5" s="6">
        <f>IF(DAY(SepSun1)=1,SepSun1+5,SepSun1+12)</f>
        <v>41523</v>
      </c>
      <c r="H5" s="6">
        <f>IF(DAY(SepSun1)=1,SepSun1+6,SepSun1+13)</f>
        <v>41524</v>
      </c>
      <c r="I5" s="6">
        <f>IF(DAY(SepSun1)=1,SepSun1+7,SepSun1+14)</f>
        <v>41525</v>
      </c>
      <c r="J5" s="6"/>
      <c r="K5" s="6"/>
      <c r="L5" s="6"/>
      <c r="M5" s="6"/>
      <c r="N5" s="24"/>
      <c r="O5" s="56"/>
      <c r="P5" s="8"/>
      <c r="Q5" s="60"/>
      <c r="R5" s="61"/>
    </row>
    <row r="6" spans="1:45" ht="18" customHeight="1" x14ac:dyDescent="0.2">
      <c r="A6" s="4"/>
      <c r="B6" s="39"/>
      <c r="C6" s="6">
        <f>IF(DAY(SepSun1)=1,SepSun1+8,SepSun1+15)</f>
        <v>41526</v>
      </c>
      <c r="D6" s="6">
        <f>IF(DAY(SepSun1)=1,SepSun1+9,SepSun1+16)</f>
        <v>41527</v>
      </c>
      <c r="E6" s="6">
        <f>IF(DAY(SepSun1)=1,SepSun1+10,SepSun1+17)</f>
        <v>41528</v>
      </c>
      <c r="F6" s="6">
        <f>IF(DAY(SepSun1)=1,SepSun1+11,SepSun1+18)</f>
        <v>41529</v>
      </c>
      <c r="G6" s="6">
        <f>IF(DAY(SepSun1)=1,SepSun1+12,SepSun1+19)</f>
        <v>41530</v>
      </c>
      <c r="H6" s="6">
        <f>IF(DAY(SepSun1)=1,SepSun1+13,SepSun1+20)</f>
        <v>41531</v>
      </c>
      <c r="I6" s="6">
        <f>IF(DAY(SepSun1)=1,SepSun1+14,SepSun1+21)</f>
        <v>41532</v>
      </c>
      <c r="J6" s="6"/>
      <c r="K6" s="6"/>
      <c r="L6" s="6"/>
      <c r="M6" s="6"/>
      <c r="N6" s="24"/>
      <c r="O6" s="56"/>
      <c r="P6" s="8"/>
      <c r="Q6" s="60"/>
      <c r="R6" s="61"/>
    </row>
    <row r="7" spans="1:45" ht="18" customHeight="1" x14ac:dyDescent="0.2">
      <c r="A7" s="4"/>
      <c r="B7" s="39"/>
      <c r="C7" s="6">
        <f>IF(DAY(SepSun1)=1,SepSun1+15,SepSun1+22)</f>
        <v>41533</v>
      </c>
      <c r="D7" s="6">
        <f>IF(DAY(SepSun1)=1,SepSun1+16,SepSun1+23)</f>
        <v>41534</v>
      </c>
      <c r="E7" s="6">
        <f>IF(DAY(SepSun1)=1,SepSun1+17,SepSun1+24)</f>
        <v>41535</v>
      </c>
      <c r="F7" s="6">
        <f>IF(DAY(SepSun1)=1,SepSun1+18,SepSun1+25)</f>
        <v>41536</v>
      </c>
      <c r="G7" s="6">
        <f>IF(DAY(SepSun1)=1,SepSun1+19,SepSun1+26)</f>
        <v>41537</v>
      </c>
      <c r="H7" s="6">
        <f>IF(DAY(SepSun1)=1,SepSun1+20,SepSun1+27)</f>
        <v>41538</v>
      </c>
      <c r="I7" s="6">
        <f>IF(DAY(SepSun1)=1,SepSun1+21,SepSun1+28)</f>
        <v>41539</v>
      </c>
      <c r="J7" s="6"/>
      <c r="K7" s="6"/>
      <c r="L7" s="6"/>
      <c r="M7" s="6"/>
      <c r="N7" s="24"/>
      <c r="O7" s="26"/>
      <c r="P7" s="8"/>
      <c r="Q7" s="60"/>
      <c r="R7" s="61"/>
    </row>
    <row r="8" spans="1:45" ht="18.75" customHeight="1" x14ac:dyDescent="0.2">
      <c r="A8" s="4"/>
      <c r="B8" s="39"/>
      <c r="C8" s="6">
        <f>IF(DAY(SepSun1)=1,SepSun1+22,SepSun1+29)</f>
        <v>41540</v>
      </c>
      <c r="D8" s="6">
        <f>IF(DAY(SepSun1)=1,SepSun1+23,SepSun1+30)</f>
        <v>41541</v>
      </c>
      <c r="E8" s="6">
        <f>IF(DAY(SepSun1)=1,SepSun1+24,SepSun1+31)</f>
        <v>41542</v>
      </c>
      <c r="F8" s="6">
        <f>IF(DAY(SepSun1)=1,SepSun1+25,SepSun1+32)</f>
        <v>41543</v>
      </c>
      <c r="G8" s="6">
        <f>IF(DAY(SepSun1)=1,SepSun1+26,SepSun1+33)</f>
        <v>41544</v>
      </c>
      <c r="H8" s="6">
        <f>IF(DAY(SepSun1)=1,SepSun1+27,SepSun1+34)</f>
        <v>41545</v>
      </c>
      <c r="I8" s="6">
        <f>IF(DAY(SepSun1)=1,SepSun1+28,SepSun1+35)</f>
        <v>41546</v>
      </c>
      <c r="J8" s="6"/>
      <c r="K8" s="6"/>
      <c r="L8" s="6"/>
      <c r="M8" s="6"/>
      <c r="N8" s="24"/>
      <c r="O8" s="26"/>
      <c r="P8" s="8"/>
      <c r="Q8" s="60"/>
      <c r="R8" s="61"/>
    </row>
    <row r="9" spans="1:45" ht="18" customHeight="1" x14ac:dyDescent="0.2">
      <c r="A9" s="4"/>
      <c r="B9" s="39"/>
      <c r="C9" s="6">
        <f>IF(DAY(SepSun1)=1,SepSun1+29,SepSun1+36)</f>
        <v>41547</v>
      </c>
      <c r="D9" s="6">
        <f>IF(DAY(SepSun1)=1,SepSun1+30,SepSun1+37)</f>
        <v>41548</v>
      </c>
      <c r="E9" s="6">
        <f>IF(DAY(SepSun1)=1,SepSun1+31,SepSun1+38)</f>
        <v>41549</v>
      </c>
      <c r="F9" s="6">
        <f>IF(DAY(SepSun1)=1,SepSun1+32,SepSun1+39)</f>
        <v>41550</v>
      </c>
      <c r="G9" s="6">
        <f>IF(DAY(SepSun1)=1,SepSun1+33,SepSun1+40)</f>
        <v>41551</v>
      </c>
      <c r="H9" s="6">
        <f>IF(DAY(SepSun1)=1,SepSun1+34,SepSun1+41)</f>
        <v>41552</v>
      </c>
      <c r="I9" s="6">
        <f>IF(DAY(SepSun1)=1,SepSun1+35,SepSun1+42)</f>
        <v>41553</v>
      </c>
      <c r="J9" s="6"/>
      <c r="K9" s="6"/>
      <c r="L9" s="6"/>
      <c r="M9" s="6"/>
      <c r="N9" s="24"/>
      <c r="O9" s="27"/>
      <c r="P9" s="9"/>
      <c r="Q9" s="62"/>
      <c r="R9" s="63"/>
    </row>
    <row r="10" spans="1:45" ht="18" customHeight="1" x14ac:dyDescent="0.2">
      <c r="A10" s="4"/>
      <c r="B10" s="4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5"/>
      <c r="O10" s="55"/>
      <c r="P10" s="7"/>
      <c r="Q10" s="64"/>
      <c r="R10" s="65"/>
    </row>
    <row r="11" spans="1:45" ht="18" customHeight="1" x14ac:dyDescent="0.2">
      <c r="A11" s="4"/>
      <c r="B11" s="41" t="s">
        <v>11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56"/>
      <c r="P11" s="8"/>
      <c r="Q11" s="60"/>
      <c r="R11" s="61"/>
    </row>
    <row r="12" spans="1:45" ht="18" customHeight="1" x14ac:dyDescent="0.2">
      <c r="A12" s="4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56"/>
      <c r="P12" s="8"/>
      <c r="Q12" s="60"/>
      <c r="R12" s="61"/>
    </row>
    <row r="13" spans="1:45" ht="18" customHeight="1" x14ac:dyDescent="0.2">
      <c r="B13" s="3" t="s">
        <v>5</v>
      </c>
      <c r="C13" s="49" t="s">
        <v>6</v>
      </c>
      <c r="D13" s="50"/>
      <c r="E13" s="49" t="s">
        <v>7</v>
      </c>
      <c r="F13" s="50"/>
      <c r="G13" s="49" t="s">
        <v>8</v>
      </c>
      <c r="H13" s="50"/>
      <c r="I13" s="49" t="s">
        <v>9</v>
      </c>
      <c r="J13" s="50"/>
      <c r="K13" s="49" t="s">
        <v>23</v>
      </c>
      <c r="L13" s="50"/>
      <c r="M13" s="49" t="s">
        <v>24</v>
      </c>
      <c r="N13" s="75"/>
      <c r="O13" s="26"/>
      <c r="P13" s="8"/>
      <c r="Q13" s="60"/>
      <c r="R13" s="61"/>
    </row>
    <row r="14" spans="1:45" s="34" customFormat="1" ht="21.95" customHeight="1" x14ac:dyDescent="0.2">
      <c r="A14" s="92"/>
      <c r="B14" s="94"/>
      <c r="C14" s="92"/>
      <c r="D14" s="94"/>
      <c r="E14" s="92"/>
      <c r="F14" s="94"/>
      <c r="G14" s="92"/>
      <c r="H14" s="94"/>
      <c r="I14" s="92"/>
      <c r="J14" s="94"/>
      <c r="K14" s="92"/>
      <c r="L14" s="94"/>
      <c r="M14" s="92"/>
      <c r="N14" s="93"/>
      <c r="O14" s="31"/>
      <c r="P14" s="32"/>
      <c r="Q14" s="86"/>
      <c r="R14" s="87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</row>
    <row r="15" spans="1:45" s="34" customFormat="1" ht="21.95" customHeight="1" x14ac:dyDescent="0.2">
      <c r="A15" s="46"/>
      <c r="B15" s="47"/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35"/>
      <c r="P15" s="36"/>
      <c r="Q15" s="88"/>
      <c r="R15" s="89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</row>
    <row r="16" spans="1:45" s="34" customFormat="1" ht="21.95" customHeight="1" x14ac:dyDescent="0.2">
      <c r="A16" s="92"/>
      <c r="B16" s="94"/>
      <c r="C16" s="92"/>
      <c r="D16" s="94"/>
      <c r="E16" s="92"/>
      <c r="F16" s="94"/>
      <c r="G16" s="92"/>
      <c r="H16" s="94"/>
      <c r="I16" s="92"/>
      <c r="J16" s="94"/>
      <c r="K16" s="92"/>
      <c r="L16" s="94"/>
      <c r="M16" s="92"/>
      <c r="N16" s="93"/>
      <c r="O16" s="97"/>
      <c r="P16" s="37"/>
      <c r="Q16" s="95"/>
      <c r="R16" s="9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</row>
    <row r="17" spans="1:45" s="34" customFormat="1" ht="21.95" customHeight="1" x14ac:dyDescent="0.2">
      <c r="A17" s="46"/>
      <c r="B17" s="4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98"/>
      <c r="P17" s="32"/>
      <c r="Q17" s="86"/>
      <c r="R17" s="87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</row>
    <row r="18" spans="1:45" s="34" customFormat="1" ht="21.95" customHeight="1" x14ac:dyDescent="0.2">
      <c r="A18" s="92"/>
      <c r="B18" s="94"/>
      <c r="C18" s="92"/>
      <c r="D18" s="94"/>
      <c r="E18" s="92"/>
      <c r="F18" s="94"/>
      <c r="G18" s="92"/>
      <c r="H18" s="94"/>
      <c r="I18" s="92"/>
      <c r="J18" s="94"/>
      <c r="K18" s="92"/>
      <c r="L18" s="94"/>
      <c r="M18" s="92"/>
      <c r="N18" s="93"/>
      <c r="O18" s="98"/>
      <c r="P18" s="32"/>
      <c r="Q18" s="86"/>
      <c r="R18" s="87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</row>
    <row r="19" spans="1:45" s="34" customFormat="1" ht="21.95" customHeight="1" x14ac:dyDescent="0.2">
      <c r="A19" s="46"/>
      <c r="B19" s="47"/>
      <c r="C19" s="46"/>
      <c r="D19" s="47"/>
      <c r="E19" s="46"/>
      <c r="F19" s="47"/>
      <c r="G19" s="46"/>
      <c r="H19" s="47"/>
      <c r="I19" s="46"/>
      <c r="J19" s="47"/>
      <c r="K19" s="46"/>
      <c r="L19" s="47"/>
      <c r="M19" s="46"/>
      <c r="N19" s="47"/>
      <c r="O19" s="31"/>
      <c r="P19" s="32"/>
      <c r="Q19" s="86"/>
      <c r="R19" s="87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</row>
    <row r="20" spans="1:45" s="34" customFormat="1" ht="21.95" customHeight="1" x14ac:dyDescent="0.2">
      <c r="A20" s="92"/>
      <c r="B20" s="94"/>
      <c r="C20" s="92"/>
      <c r="D20" s="94"/>
      <c r="E20" s="92"/>
      <c r="F20" s="94"/>
      <c r="G20" s="92"/>
      <c r="H20" s="94"/>
      <c r="I20" s="92"/>
      <c r="J20" s="94"/>
      <c r="K20" s="92"/>
      <c r="L20" s="94"/>
      <c r="M20" s="92"/>
      <c r="N20" s="93"/>
      <c r="O20" s="31"/>
      <c r="P20" s="32"/>
      <c r="Q20" s="86"/>
      <c r="R20" s="87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5" s="34" customFormat="1" ht="21.95" customHeight="1" x14ac:dyDescent="0.2">
      <c r="A21" s="46"/>
      <c r="B21" s="47"/>
      <c r="C21" s="46"/>
      <c r="D21" s="47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35"/>
      <c r="P21" s="36"/>
      <c r="Q21" s="88"/>
      <c r="R21" s="89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</row>
    <row r="22" spans="1:45" s="34" customFormat="1" ht="21.95" customHeight="1" x14ac:dyDescent="0.2">
      <c r="A22" s="92"/>
      <c r="B22" s="94"/>
      <c r="C22" s="92"/>
      <c r="D22" s="94"/>
      <c r="E22" s="92"/>
      <c r="F22" s="94"/>
      <c r="G22" s="92"/>
      <c r="H22" s="94"/>
      <c r="I22" s="92"/>
      <c r="J22" s="94"/>
      <c r="K22" s="92"/>
      <c r="L22" s="94"/>
      <c r="M22" s="92"/>
      <c r="N22" s="93"/>
      <c r="O22" s="99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</row>
    <row r="23" spans="1:45" s="34" customFormat="1" ht="21.95" customHeight="1" x14ac:dyDescent="0.2">
      <c r="A23" s="46"/>
      <c r="B23" s="47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6"/>
      <c r="N23" s="101"/>
      <c r="O23" s="100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</row>
  </sheetData>
  <mergeCells count="102">
    <mergeCell ref="M22:N22"/>
    <mergeCell ref="O22:O23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Q20:R20"/>
    <mergeCell ref="A21:B21"/>
    <mergeCell ref="C21:D21"/>
    <mergeCell ref="E21:F21"/>
    <mergeCell ref="G21:H21"/>
    <mergeCell ref="I21:J21"/>
    <mergeCell ref="K21:L21"/>
    <mergeCell ref="M21:N21"/>
    <mergeCell ref="Q21:R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9:N19"/>
    <mergeCell ref="Q19:R19"/>
    <mergeCell ref="A18:B18"/>
    <mergeCell ref="C18:D18"/>
    <mergeCell ref="E18:F18"/>
    <mergeCell ref="G18:H18"/>
    <mergeCell ref="I18:J18"/>
    <mergeCell ref="K18:L18"/>
    <mergeCell ref="Q16:R16"/>
    <mergeCell ref="A17:B17"/>
    <mergeCell ref="C17:D17"/>
    <mergeCell ref="E17:F17"/>
    <mergeCell ref="G17:H17"/>
    <mergeCell ref="I17:J17"/>
    <mergeCell ref="K17:L17"/>
    <mergeCell ref="M17:N17"/>
    <mergeCell ref="Q17:R17"/>
    <mergeCell ref="A16:B16"/>
    <mergeCell ref="C16:D16"/>
    <mergeCell ref="E16:F16"/>
    <mergeCell ref="G16:H16"/>
    <mergeCell ref="I16:J16"/>
    <mergeCell ref="K16:L16"/>
    <mergeCell ref="M16:N16"/>
    <mergeCell ref="O16:O18"/>
    <mergeCell ref="Q18:R18"/>
    <mergeCell ref="M13:N13"/>
    <mergeCell ref="A15:B15"/>
    <mergeCell ref="C15:D15"/>
    <mergeCell ref="E15:F15"/>
    <mergeCell ref="G15:H15"/>
    <mergeCell ref="I15:J15"/>
    <mergeCell ref="K15:L15"/>
    <mergeCell ref="M18:N18"/>
    <mergeCell ref="A14:B14"/>
    <mergeCell ref="C14:D14"/>
    <mergeCell ref="E14:F14"/>
    <mergeCell ref="G14:H14"/>
    <mergeCell ref="I14:J14"/>
    <mergeCell ref="K14:L14"/>
    <mergeCell ref="M14:N14"/>
    <mergeCell ref="Q13:R13"/>
    <mergeCell ref="Q14:R14"/>
    <mergeCell ref="M15:N15"/>
    <mergeCell ref="Q15:R15"/>
    <mergeCell ref="O10:O12"/>
    <mergeCell ref="Q10:R10"/>
    <mergeCell ref="B11:N12"/>
    <mergeCell ref="Q11:R11"/>
    <mergeCell ref="Q12:R12"/>
    <mergeCell ref="C13:D13"/>
    <mergeCell ref="E13:F13"/>
    <mergeCell ref="G13:H13"/>
    <mergeCell ref="I13:J13"/>
    <mergeCell ref="K13:L13"/>
    <mergeCell ref="B2:B10"/>
    <mergeCell ref="O2:Q3"/>
    <mergeCell ref="R2:R3"/>
    <mergeCell ref="O4:O6"/>
    <mergeCell ref="Q4:R4"/>
    <mergeCell ref="Q5:R5"/>
    <mergeCell ref="Q6:R6"/>
    <mergeCell ref="Q7:R7"/>
    <mergeCell ref="Q8:R8"/>
    <mergeCell ref="Q9:R9"/>
  </mergeCells>
  <conditionalFormatting sqref="C4:L4">
    <cfRule type="expression" dxfId="57" priority="18" stopIfTrue="1">
      <formula>DAY(C4)&gt;8</formula>
    </cfRule>
  </conditionalFormatting>
  <conditionalFormatting sqref="C8:M10">
    <cfRule type="expression" dxfId="56" priority="17" stopIfTrue="1">
      <formula>AND(DAY(C8)&gt;=1,DAY(C8)&lt;=15)</formula>
    </cfRule>
  </conditionalFormatting>
  <conditionalFormatting sqref="C4:M9">
    <cfRule type="expression" dxfId="55" priority="19">
      <formula>VLOOKUP(DAY(C4),AssignmentDays,1,FALSE)=DAY(C4)</formula>
    </cfRule>
  </conditionalFormatting>
  <conditionalFormatting sqref="A14:N14 A16:N16 A18:N18 A20:N20 A22:N22">
    <cfRule type="expression" dxfId="54" priority="15">
      <formula>A14&lt;&gt;""</formula>
    </cfRule>
  </conditionalFormatting>
  <conditionalFormatting sqref="A15:N15">
    <cfRule type="expression" dxfId="53" priority="14">
      <formula>A15&lt;&gt;""</formula>
    </cfRule>
  </conditionalFormatting>
  <conditionalFormatting sqref="A15:N15">
    <cfRule type="containsText" dxfId="52" priority="13" operator="containsText" text="Flight">
      <formula>NOT(ISERROR(SEARCH("Flight",A15)))</formula>
    </cfRule>
  </conditionalFormatting>
  <conditionalFormatting sqref="A17:N17">
    <cfRule type="expression" dxfId="51" priority="12">
      <formula>A17&lt;&gt;""</formula>
    </cfRule>
  </conditionalFormatting>
  <conditionalFormatting sqref="A17:N17">
    <cfRule type="containsText" dxfId="50" priority="11" operator="containsText" text="Flight">
      <formula>NOT(ISERROR(SEARCH("Flight",A17)))</formula>
    </cfRule>
  </conditionalFormatting>
  <conditionalFormatting sqref="A19:N19">
    <cfRule type="expression" dxfId="49" priority="10">
      <formula>A19&lt;&gt;""</formula>
    </cfRule>
  </conditionalFormatting>
  <conditionalFormatting sqref="A19:N19">
    <cfRule type="containsText" dxfId="48" priority="9" operator="containsText" text="Flight">
      <formula>NOT(ISERROR(SEARCH("Flight",A19)))</formula>
    </cfRule>
  </conditionalFormatting>
  <conditionalFormatting sqref="A21:N21">
    <cfRule type="expression" dxfId="47" priority="8">
      <formula>A21&lt;&gt;""</formula>
    </cfRule>
  </conditionalFormatting>
  <conditionalFormatting sqref="A21:N21">
    <cfRule type="containsText" dxfId="46" priority="7" operator="containsText" text="Flight">
      <formula>NOT(ISERROR(SEARCH("Flight",A21)))</formula>
    </cfRule>
  </conditionalFormatting>
  <conditionalFormatting sqref="A23:L23">
    <cfRule type="expression" dxfId="45" priority="6">
      <formula>A23&lt;&gt;""</formula>
    </cfRule>
  </conditionalFormatting>
  <conditionalFormatting sqref="A23:L23">
    <cfRule type="containsText" dxfId="44" priority="5" operator="containsText" text="Flight">
      <formula>NOT(ISERROR(SEARCH("Flight",A23)))</formula>
    </cfRule>
  </conditionalFormatting>
  <conditionalFormatting sqref="M23:N23">
    <cfRule type="expression" dxfId="43" priority="4">
      <formula>M23&lt;&gt;""</formula>
    </cfRule>
  </conditionalFormatting>
  <conditionalFormatting sqref="M23:N23">
    <cfRule type="containsText" dxfId="42" priority="3" operator="containsText" text="Flight">
      <formula>NOT(ISERROR(SEARCH("Flight",M23)))</formula>
    </cfRule>
  </conditionalFormatting>
  <dataValidations count="3">
    <dataValidation type="list" allowBlank="1" showInputMessage="1" showErrorMessage="1" sqref="A17:N17 A19:N19 A21:N21 A23:N23 A15:N15">
      <formula1>Flight.1</formula1>
    </dataValidation>
    <dataValidation type="list" allowBlank="1" showInputMessage="1" showErrorMessage="1" sqref="A16:N16 A18:N18 A20:N20 A22:N22 A14:N14">
      <formula1>Ground.1</formula1>
    </dataValidation>
    <dataValidation allowBlank="1" showInputMessage="1" showErrorMessage="1" errorTitle="Invalid Year" error="Enter a year from 1900 to 9999, or use the scroll bar to find a year." sqref="R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18</xdr:col>
                    <xdr:colOff>28575</xdr:colOff>
                    <xdr:row>1</xdr:row>
                    <xdr:rowOff>85725</xdr:rowOff>
                  </from>
                  <to>
                    <xdr:col>19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FF21058-99F3-4238-BEF5-0A42D62435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57</vt:i4>
      </vt:variant>
    </vt:vector>
  </HeadingPairs>
  <TitlesOfParts>
    <vt:vector size="71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Ground List</vt:lpstr>
      <vt:lpstr>Flight List</vt:lpstr>
      <vt:lpstr>April!AssignmentDays</vt:lpstr>
      <vt:lpstr>August!AssignmentDays</vt:lpstr>
      <vt:lpstr>December!AssignmentDays</vt:lpstr>
      <vt:lpstr>February!AssignmentDays</vt:lpstr>
      <vt:lpstr>July!AssignmentDays</vt:lpstr>
      <vt:lpstr>June!AssignmentDays</vt:lpstr>
      <vt:lpstr>March!AssignmentDays</vt:lpstr>
      <vt:lpstr>May!AssignmentDays</vt:lpstr>
      <vt:lpstr>November!AssignmentDays</vt:lpstr>
      <vt:lpstr>October!AssignmentDays</vt:lpstr>
      <vt:lpstr>September!AssignmentDays</vt:lpstr>
      <vt:lpstr>AssignmentDays</vt:lpstr>
      <vt:lpstr>April!CalendarYear</vt:lpstr>
      <vt:lpstr>August!CalendarYear</vt:lpstr>
      <vt:lpstr>December!CalendarYear</vt:lpstr>
      <vt:lpstr>February!CalendarYear</vt:lpstr>
      <vt:lpstr>July!CalendarYear</vt:lpstr>
      <vt:lpstr>June!CalendarYear</vt:lpstr>
      <vt:lpstr>March!CalendarYear</vt:lpstr>
      <vt:lpstr>May!CalendarYear</vt:lpstr>
      <vt:lpstr>November!CalendarYear</vt:lpstr>
      <vt:lpstr>October!CalendarYear</vt:lpstr>
      <vt:lpstr>September!CalendarYear</vt:lpstr>
      <vt:lpstr>CalendarYear</vt:lpstr>
      <vt:lpstr>Flight</vt:lpstr>
      <vt:lpstr>Flight.1</vt:lpstr>
      <vt:lpstr>Flight.3</vt:lpstr>
      <vt:lpstr>Flightlist</vt:lpstr>
      <vt:lpstr>Ground</vt:lpstr>
      <vt:lpstr>Ground.1</vt:lpstr>
      <vt:lpstr>Ground.3</vt:lpstr>
      <vt:lpstr>Groundlist</vt:lpstr>
      <vt:lpstr>Groundlist.3</vt:lpstr>
      <vt:lpstr>April!ImportantDatesTable</vt:lpstr>
      <vt:lpstr>August!ImportantDatesTable</vt:lpstr>
      <vt:lpstr>December!ImportantDatesTable</vt:lpstr>
      <vt:lpstr>February!ImportantDatesTable</vt:lpstr>
      <vt:lpstr>July!ImportantDatesTable</vt:lpstr>
      <vt:lpstr>June!ImportantDatesTable</vt:lpstr>
      <vt:lpstr>March!ImportantDatesTable</vt:lpstr>
      <vt:lpstr>May!ImportantDatesTable</vt:lpstr>
      <vt:lpstr>November!ImportantDatesTable</vt:lpstr>
      <vt:lpstr>October!ImportantDatesTable</vt:lpstr>
      <vt:lpstr>September!ImportantDatesTable</vt:lpstr>
      <vt:lpstr>ImportantDatesTable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2013-09-29T17:41:12Z</dcterms:created>
  <dcterms:modified xsi:type="dcterms:W3CDTF">2015-02-27T16:51:47Z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TC025512749991</vt:lpwstr>
  </property>
</Properties>
</file>